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omments1.xml" ContentType="application/vnd.openxmlformats-officedocument.spreadsheetml.comments+xml"/>
  <Override PartName="/xl/drawings/drawing7.xml" ContentType="application/vnd.openxmlformats-officedocument.drawing+xml"/>
  <Override PartName="/xl/drawings/drawing8.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9.xml" ContentType="application/vnd.openxmlformats-officedocument.drawing+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codeName="ThisWorkbook" defaultThemeVersion="166925"/>
  <mc:AlternateContent xmlns:mc="http://schemas.openxmlformats.org/markup-compatibility/2006">
    <mc:Choice Requires="x15">
      <x15ac:absPath xmlns:x15ac="http://schemas.microsoft.com/office/spreadsheetml/2010/11/ac" url="https://carcglgov.sharepoint.com/sites/NYStretchCoordination/Shared Documents/Prototypes/Prototypes/Scorecards/"/>
    </mc:Choice>
  </mc:AlternateContent>
  <xr:revisionPtr revIDLastSave="276" documentId="13_ncr:1_{9FA45E00-13DE-45CF-BA04-9B595CC0ACF4}" xr6:coauthVersionLast="47" xr6:coauthVersionMax="47" xr10:uidLastSave="{1DACA948-0096-437F-878F-DAC53DA45903}"/>
  <bookViews>
    <workbookView xWindow="28680" yWindow="-120" windowWidth="29040" windowHeight="15720" tabRatio="825" activeTab="1" xr2:uid="{EAC23EE3-0CA0-4FF8-990D-9B21A59FA3E0}"/>
  </bookViews>
  <sheets>
    <sheet name="Notes" sheetId="23" r:id="rId1"/>
    <sheet name="Prototype" sheetId="2" r:id="rId2"/>
    <sheet name="Zones" sheetId="13" r:id="rId3"/>
    <sheet name="Envelope" sheetId="1" r:id="rId4"/>
    <sheet name="HVAC System" sheetId="14" r:id="rId5"/>
    <sheet name="Thermostat" sheetId="30" r:id="rId6"/>
    <sheet name="Ventilation" sheetId="18" r:id="rId7"/>
    <sheet name="Water Heater" sheetId="7" r:id="rId8"/>
    <sheet name="Equipment" sheetId="29" r:id="rId9"/>
    <sheet name="Interior Lights" sheetId="25" r:id="rId10"/>
    <sheet name="Ext Lighting" sheetId="9" r:id="rId11"/>
    <sheet name="Schedules" sheetId="28" r:id="rId12"/>
    <sheet name="Energy Usage" sheetId="20" r:id="rId13"/>
    <sheet name="Weights" sheetId="21" r:id="rId14"/>
    <sheet name="PV" sheetId="27" state="hidden" r:id="rId15"/>
    <sheet name="EV Charger" sheetId="22" state="hidden" r:id="rId16"/>
    <sheet name="Data" sheetId="31" state="hidden" r:id="rId17"/>
  </sheets>
  <definedNames>
    <definedName name="_xlnm._FilterDatabase" localSheetId="16" hidden="1">Data!$D$1:$G$1</definedName>
    <definedName name="_xlnm._FilterDatabase" localSheetId="2" hidden="1">Zones!$B$3:$B$5</definedName>
    <definedName name="Space_Function">Data!$A$2:$A$76</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T3" i="20" l="1"/>
  <c r="U3" i="20"/>
  <c r="J4" i="20" l="1"/>
  <c r="K4" i="20"/>
  <c r="J5" i="20"/>
  <c r="K5" i="20"/>
  <c r="J6" i="20"/>
  <c r="K6" i="20"/>
  <c r="J7" i="20"/>
  <c r="K7" i="20"/>
  <c r="J8" i="20"/>
  <c r="K8" i="20"/>
  <c r="J9" i="20"/>
  <c r="K9" i="20"/>
  <c r="J10" i="20"/>
  <c r="K10" i="20"/>
  <c r="J11" i="20"/>
  <c r="K11" i="20"/>
  <c r="J12" i="20"/>
  <c r="L12" i="20" s="1"/>
  <c r="K12" i="20"/>
  <c r="J13" i="20"/>
  <c r="L13" i="20" s="1"/>
  <c r="K13" i="20"/>
  <c r="J14" i="20"/>
  <c r="L14" i="20" s="1"/>
  <c r="K14" i="20"/>
  <c r="J15" i="20"/>
  <c r="K15" i="20"/>
  <c r="J16" i="20"/>
  <c r="K16" i="20"/>
  <c r="J17" i="20"/>
  <c r="K17" i="20"/>
  <c r="J18" i="20"/>
  <c r="K18" i="20"/>
  <c r="K3" i="20"/>
  <c r="J3" i="20"/>
  <c r="L17" i="20"/>
  <c r="L16" i="20"/>
  <c r="L15" i="20"/>
  <c r="L11" i="20"/>
  <c r="L10" i="20"/>
  <c r="L9" i="20"/>
  <c r="L6" i="20"/>
  <c r="L5" i="20"/>
  <c r="L3" i="20"/>
  <c r="J6" i="13"/>
  <c r="L18" i="20" l="1"/>
  <c r="L7" i="20"/>
  <c r="L4" i="20"/>
  <c r="L8" i="20"/>
  <c r="U14" i="20" l="1"/>
  <c r="U15" i="20"/>
  <c r="U16" i="20"/>
  <c r="U17" i="20"/>
  <c r="U18" i="20"/>
  <c r="T4" i="20"/>
  <c r="T8" i="20"/>
  <c r="T9" i="20"/>
  <c r="T10" i="20"/>
  <c r="S18" i="20"/>
  <c r="T18" i="20" s="1"/>
  <c r="S17" i="20"/>
  <c r="T17" i="20" s="1"/>
  <c r="S16" i="20"/>
  <c r="T16" i="20" s="1"/>
  <c r="S15" i="20"/>
  <c r="T15" i="20" s="1"/>
  <c r="S14" i="20"/>
  <c r="T14" i="20" s="1"/>
  <c r="S13" i="20"/>
  <c r="T13" i="20" s="1"/>
  <c r="S12" i="20"/>
  <c r="U12" i="20" s="1"/>
  <c r="S11" i="20"/>
  <c r="T11" i="20" s="1"/>
  <c r="S10" i="20"/>
  <c r="U10" i="20" s="1"/>
  <c r="S9" i="20"/>
  <c r="U9" i="20" s="1"/>
  <c r="S8" i="20"/>
  <c r="U8" i="20" s="1"/>
  <c r="S7" i="20"/>
  <c r="T7" i="20" s="1"/>
  <c r="S6" i="20"/>
  <c r="T6" i="20" s="1"/>
  <c r="S5" i="20"/>
  <c r="T5" i="20" s="1"/>
  <c r="S4" i="20"/>
  <c r="U4" i="20" s="1"/>
  <c r="S3" i="20"/>
  <c r="U13" i="20" l="1"/>
  <c r="U7" i="20"/>
  <c r="U6" i="20"/>
  <c r="T12" i="20"/>
  <c r="V12" i="20" s="1"/>
  <c r="U5" i="20"/>
  <c r="U11" i="20"/>
  <c r="V18" i="20"/>
  <c r="V13" i="20"/>
  <c r="V10" i="20"/>
  <c r="V8" i="20"/>
  <c r="V3" i="20"/>
  <c r="V14" i="20"/>
  <c r="V9" i="20"/>
  <c r="V4" i="20"/>
  <c r="V15" i="20"/>
  <c r="V5" i="20"/>
  <c r="V16" i="20"/>
  <c r="V11" i="20"/>
  <c r="V6" i="20"/>
  <c r="V17" i="20"/>
  <c r="V7" i="20"/>
  <c r="AC5" i="28" l="1"/>
  <c r="G5" i="28"/>
  <c r="H5" i="28"/>
  <c r="I5" i="28"/>
  <c r="J5" i="28"/>
  <c r="K5" i="28"/>
  <c r="L5" i="28"/>
  <c r="M5" i="28"/>
  <c r="N5" i="28"/>
  <c r="O5" i="28"/>
  <c r="P5" i="28"/>
  <c r="Q5" i="28"/>
  <c r="R5" i="28"/>
  <c r="S5" i="28"/>
  <c r="T5" i="28"/>
  <c r="U5" i="28"/>
  <c r="V5" i="28"/>
  <c r="W5" i="28"/>
  <c r="X5" i="28"/>
  <c r="Y5" i="28"/>
  <c r="Z5" i="28"/>
  <c r="AA5" i="28"/>
  <c r="AB5" i="28"/>
  <c r="F5" i="28"/>
  <c r="AC8" i="28"/>
  <c r="G8" i="28"/>
  <c r="H8" i="28"/>
  <c r="I8" i="28"/>
  <c r="J8" i="28"/>
  <c r="K8" i="28"/>
  <c r="L8" i="28"/>
  <c r="M8" i="28"/>
  <c r="N8" i="28"/>
  <c r="O8" i="28"/>
  <c r="P8" i="28"/>
  <c r="Q8" i="28"/>
  <c r="R8" i="28"/>
  <c r="S8" i="28"/>
  <c r="T8" i="28"/>
  <c r="U8" i="28"/>
  <c r="V8" i="28"/>
  <c r="W8" i="28"/>
  <c r="X8" i="28"/>
  <c r="Y8" i="28"/>
  <c r="Z8" i="28"/>
  <c r="AA8" i="28"/>
  <c r="AB8" i="28"/>
  <c r="F8" i="28"/>
  <c r="AC11" i="28"/>
  <c r="AB11" i="28"/>
  <c r="AA11" i="28"/>
  <c r="Z11" i="28"/>
  <c r="Y11" i="28"/>
  <c r="X11" i="28"/>
  <c r="W11" i="28"/>
  <c r="V11" i="28"/>
  <c r="U11" i="28"/>
  <c r="T11" i="28"/>
  <c r="S11" i="28"/>
  <c r="R11" i="28"/>
  <c r="Q11" i="28"/>
  <c r="P11" i="28"/>
  <c r="O11" i="28"/>
  <c r="N11" i="28"/>
  <c r="M11" i="28"/>
  <c r="L11" i="28"/>
  <c r="K11" i="28"/>
  <c r="J11" i="28"/>
  <c r="I11" i="28"/>
  <c r="H11" i="28"/>
  <c r="G11" i="28"/>
  <c r="F11" i="28"/>
  <c r="AC17" i="28"/>
  <c r="G17" i="28"/>
  <c r="H17" i="28"/>
  <c r="I17" i="28"/>
  <c r="J17" i="28"/>
  <c r="K17" i="28"/>
  <c r="L17" i="28"/>
  <c r="M17" i="28"/>
  <c r="N17" i="28"/>
  <c r="O17" i="28"/>
  <c r="P17" i="28"/>
  <c r="Q17" i="28"/>
  <c r="R17" i="28"/>
  <c r="S17" i="28"/>
  <c r="T17" i="28"/>
  <c r="U17" i="28"/>
  <c r="V17" i="28"/>
  <c r="W17" i="28"/>
  <c r="X17" i="28"/>
  <c r="Y17" i="28"/>
  <c r="Z17" i="28"/>
  <c r="AA17" i="28"/>
  <c r="AB17" i="28"/>
  <c r="F17" i="28"/>
  <c r="AC14" i="28"/>
  <c r="G14" i="28"/>
  <c r="H14" i="28"/>
  <c r="I14" i="28"/>
  <c r="J14" i="28"/>
  <c r="J26" i="28" s="1"/>
  <c r="K14" i="28"/>
  <c r="K26" i="28" s="1"/>
  <c r="L14" i="28"/>
  <c r="L26" i="28" s="1"/>
  <c r="M14" i="28"/>
  <c r="M26" i="28" s="1"/>
  <c r="N14" i="28"/>
  <c r="N26" i="28" s="1"/>
  <c r="O14" i="28"/>
  <c r="O26" i="28" s="1"/>
  <c r="P14" i="28"/>
  <c r="P26" i="28" s="1"/>
  <c r="Q14" i="28"/>
  <c r="Q26" i="28" s="1"/>
  <c r="R14" i="28"/>
  <c r="R26" i="28" s="1"/>
  <c r="S14" i="28"/>
  <c r="S26" i="28" s="1"/>
  <c r="T14" i="28"/>
  <c r="T26" i="28" s="1"/>
  <c r="U14" i="28"/>
  <c r="U26" i="28" s="1"/>
  <c r="V14" i="28"/>
  <c r="V26" i="28" s="1"/>
  <c r="W14" i="28"/>
  <c r="W26" i="28" s="1"/>
  <c r="X14" i="28"/>
  <c r="X26" i="28" s="1"/>
  <c r="Y14" i="28"/>
  <c r="Y26" i="28" s="1"/>
  <c r="Z14" i="28"/>
  <c r="Z26" i="28" s="1"/>
  <c r="AA14" i="28"/>
  <c r="AA23" i="28" s="1"/>
  <c r="AB14" i="28"/>
  <c r="AB23" i="28" s="1"/>
  <c r="F14" i="28"/>
  <c r="F26" i="28" s="1"/>
  <c r="F53" i="28"/>
  <c r="AC38" i="1"/>
  <c r="A53" i="28"/>
  <c r="B53" i="28"/>
  <c r="B6" i="29"/>
  <c r="J18" i="1"/>
  <c r="K18" i="1"/>
  <c r="L18" i="1"/>
  <c r="M18" i="1"/>
  <c r="N18" i="1"/>
  <c r="O18" i="1"/>
  <c r="P18" i="1"/>
  <c r="Q18" i="1"/>
  <c r="R18" i="1"/>
  <c r="S18" i="1"/>
  <c r="T18" i="1"/>
  <c r="U18" i="1"/>
  <c r="V18" i="1"/>
  <c r="W18" i="1"/>
  <c r="X18" i="1"/>
  <c r="I18" i="1"/>
  <c r="J19" i="1"/>
  <c r="K19" i="1"/>
  <c r="L19" i="1"/>
  <c r="M19" i="1"/>
  <c r="N19" i="1"/>
  <c r="O19" i="1"/>
  <c r="P19" i="1"/>
  <c r="Q19" i="1"/>
  <c r="R19" i="1"/>
  <c r="S19" i="1"/>
  <c r="T19" i="1"/>
  <c r="U19" i="1"/>
  <c r="V19" i="1"/>
  <c r="W19" i="1"/>
  <c r="X19" i="1"/>
  <c r="I19" i="1"/>
  <c r="E20" i="14"/>
  <c r="G25" i="28"/>
  <c r="H25" i="28"/>
  <c r="I25" i="28"/>
  <c r="J25" i="28"/>
  <c r="K25" i="28"/>
  <c r="L25" i="28"/>
  <c r="M25" i="28"/>
  <c r="N25" i="28"/>
  <c r="O25" i="28"/>
  <c r="P25" i="28"/>
  <c r="Q25" i="28"/>
  <c r="R25" i="28"/>
  <c r="S25" i="28"/>
  <c r="T25" i="28"/>
  <c r="U25" i="28"/>
  <c r="V25" i="28"/>
  <c r="W25" i="28"/>
  <c r="X25" i="28"/>
  <c r="Y25" i="28"/>
  <c r="Z25" i="28"/>
  <c r="AA25" i="28"/>
  <c r="AB25" i="28"/>
  <c r="AC25" i="28"/>
  <c r="G26" i="28"/>
  <c r="H26" i="28"/>
  <c r="I26" i="28"/>
  <c r="AC26" i="28"/>
  <c r="G27" i="28"/>
  <c r="H27" i="28"/>
  <c r="I27" i="28"/>
  <c r="J27" i="28"/>
  <c r="K27" i="28"/>
  <c r="L27" i="28"/>
  <c r="M27" i="28"/>
  <c r="N27" i="28"/>
  <c r="O27" i="28"/>
  <c r="P27" i="28"/>
  <c r="Q27" i="28"/>
  <c r="R27" i="28"/>
  <c r="S27" i="28"/>
  <c r="T27" i="28"/>
  <c r="U27" i="28"/>
  <c r="V27" i="28"/>
  <c r="W27" i="28"/>
  <c r="X27" i="28"/>
  <c r="Y27" i="28"/>
  <c r="Z27" i="28"/>
  <c r="AA27" i="28"/>
  <c r="AB27" i="28"/>
  <c r="AC27" i="28"/>
  <c r="F27" i="28"/>
  <c r="F25" i="28"/>
  <c r="G22" i="28"/>
  <c r="H22" i="28"/>
  <c r="I22" i="28"/>
  <c r="J22" i="28"/>
  <c r="K22" i="28"/>
  <c r="L22" i="28"/>
  <c r="M22" i="28"/>
  <c r="N22" i="28"/>
  <c r="O22" i="28"/>
  <c r="P22" i="28"/>
  <c r="Q22" i="28"/>
  <c r="R22" i="28"/>
  <c r="S22" i="28"/>
  <c r="T22" i="28"/>
  <c r="U22" i="28"/>
  <c r="V22" i="28"/>
  <c r="W22" i="28"/>
  <c r="X22" i="28"/>
  <c r="Y22" i="28"/>
  <c r="Z22" i="28"/>
  <c r="AA22" i="28"/>
  <c r="AB22" i="28"/>
  <c r="AC22" i="28"/>
  <c r="G23" i="28"/>
  <c r="H23" i="28"/>
  <c r="I23" i="28"/>
  <c r="J23" i="28"/>
  <c r="K23" i="28"/>
  <c r="L23" i="28"/>
  <c r="M23" i="28"/>
  <c r="N23" i="28"/>
  <c r="O23" i="28"/>
  <c r="P23" i="28"/>
  <c r="Q23" i="28"/>
  <c r="R23" i="28"/>
  <c r="S23" i="28"/>
  <c r="T23" i="28"/>
  <c r="U23" i="28"/>
  <c r="V23" i="28"/>
  <c r="W23" i="28"/>
  <c r="X23" i="28"/>
  <c r="Y23" i="28"/>
  <c r="Z23" i="28"/>
  <c r="AC23" i="28"/>
  <c r="G24" i="28"/>
  <c r="H24" i="28"/>
  <c r="I24" i="28"/>
  <c r="J24" i="28"/>
  <c r="K24" i="28"/>
  <c r="L24" i="28"/>
  <c r="M24" i="28"/>
  <c r="N24" i="28"/>
  <c r="O24" i="28"/>
  <c r="P24" i="28"/>
  <c r="Q24" i="28"/>
  <c r="R24" i="28"/>
  <c r="S24" i="28"/>
  <c r="T24" i="28"/>
  <c r="U24" i="28"/>
  <c r="V24" i="28"/>
  <c r="W24" i="28"/>
  <c r="X24" i="28"/>
  <c r="Y24" i="28"/>
  <c r="Z24" i="28"/>
  <c r="AA24" i="28"/>
  <c r="AB24" i="28"/>
  <c r="AC24" i="28"/>
  <c r="F23" i="28"/>
  <c r="F24" i="28"/>
  <c r="F22" i="28"/>
  <c r="G47" i="28"/>
  <c r="H47" i="28"/>
  <c r="I47" i="28"/>
  <c r="J47" i="28"/>
  <c r="K47" i="28"/>
  <c r="L47" i="28"/>
  <c r="M47" i="28"/>
  <c r="N47" i="28"/>
  <c r="O47" i="28"/>
  <c r="P47" i="28"/>
  <c r="Q47" i="28"/>
  <c r="R47" i="28"/>
  <c r="S47" i="28"/>
  <c r="T47" i="28"/>
  <c r="U47" i="28"/>
  <c r="V47" i="28"/>
  <c r="W47" i="28"/>
  <c r="X47" i="28"/>
  <c r="Y47" i="28"/>
  <c r="Z47" i="28"/>
  <c r="AA47" i="28"/>
  <c r="AB47" i="28"/>
  <c r="AC47" i="28"/>
  <c r="G48" i="28"/>
  <c r="H48" i="28"/>
  <c r="I48" i="28"/>
  <c r="J48" i="28"/>
  <c r="K48" i="28"/>
  <c r="L48" i="28"/>
  <c r="M48" i="28"/>
  <c r="N48" i="28"/>
  <c r="O48" i="28"/>
  <c r="P48" i="28"/>
  <c r="Q48" i="28"/>
  <c r="R48" i="28"/>
  <c r="S48" i="28"/>
  <c r="T48" i="28"/>
  <c r="U48" i="28"/>
  <c r="V48" i="28"/>
  <c r="W48" i="28"/>
  <c r="X48" i="28"/>
  <c r="Y48" i="28"/>
  <c r="Z48" i="28"/>
  <c r="AA48" i="28"/>
  <c r="AB48" i="28"/>
  <c r="AC48" i="28"/>
  <c r="G49" i="28"/>
  <c r="H49" i="28"/>
  <c r="I49" i="28"/>
  <c r="J49" i="28"/>
  <c r="K49" i="28"/>
  <c r="L49" i="28"/>
  <c r="M49" i="28"/>
  <c r="N49" i="28"/>
  <c r="O49" i="28"/>
  <c r="P49" i="28"/>
  <c r="Q49" i="28"/>
  <c r="R49" i="28"/>
  <c r="S49" i="28"/>
  <c r="T49" i="28"/>
  <c r="U49" i="28"/>
  <c r="V49" i="28"/>
  <c r="W49" i="28"/>
  <c r="X49" i="28"/>
  <c r="Y49" i="28"/>
  <c r="Z49" i="28"/>
  <c r="AA49" i="28"/>
  <c r="AB49" i="28"/>
  <c r="AC49" i="28"/>
  <c r="F48" i="28"/>
  <c r="F49" i="28"/>
  <c r="F47" i="28"/>
  <c r="G78" i="28"/>
  <c r="H78" i="28"/>
  <c r="I78" i="28"/>
  <c r="J78" i="28"/>
  <c r="K78" i="28"/>
  <c r="L78" i="28"/>
  <c r="M78" i="28"/>
  <c r="N78" i="28"/>
  <c r="O78" i="28"/>
  <c r="P78" i="28"/>
  <c r="Q78" i="28"/>
  <c r="R78" i="28"/>
  <c r="S78" i="28"/>
  <c r="T78" i="28"/>
  <c r="U78" i="28"/>
  <c r="V78" i="28"/>
  <c r="W78" i="28"/>
  <c r="X78" i="28"/>
  <c r="Y78" i="28"/>
  <c r="Z78" i="28"/>
  <c r="AA78" i="28"/>
  <c r="AB78" i="28"/>
  <c r="AC78" i="28"/>
  <c r="G79" i="28"/>
  <c r="H79" i="28"/>
  <c r="I79" i="28"/>
  <c r="J79" i="28"/>
  <c r="K79" i="28"/>
  <c r="L79" i="28"/>
  <c r="M79" i="28"/>
  <c r="N79" i="28"/>
  <c r="O79" i="28"/>
  <c r="P79" i="28"/>
  <c r="Q79" i="28"/>
  <c r="R79" i="28"/>
  <c r="S79" i="28"/>
  <c r="T79" i="28"/>
  <c r="U79" i="28"/>
  <c r="V79" i="28"/>
  <c r="W79" i="28"/>
  <c r="X79" i="28"/>
  <c r="Y79" i="28"/>
  <c r="Z79" i="28"/>
  <c r="AA79" i="28"/>
  <c r="AB79" i="28"/>
  <c r="AC79" i="28"/>
  <c r="G80" i="28"/>
  <c r="H80" i="28"/>
  <c r="I80" i="28"/>
  <c r="J80" i="28"/>
  <c r="K80" i="28"/>
  <c r="L80" i="28"/>
  <c r="M80" i="28"/>
  <c r="N80" i="28"/>
  <c r="O80" i="28"/>
  <c r="P80" i="28"/>
  <c r="Q80" i="28"/>
  <c r="R80" i="28"/>
  <c r="S80" i="28"/>
  <c r="T80" i="28"/>
  <c r="U80" i="28"/>
  <c r="V80" i="28"/>
  <c r="W80" i="28"/>
  <c r="X80" i="28"/>
  <c r="Y80" i="28"/>
  <c r="Z80" i="28"/>
  <c r="AA80" i="28"/>
  <c r="AB80" i="28"/>
  <c r="AC80" i="28"/>
  <c r="F79" i="28"/>
  <c r="F80" i="28"/>
  <c r="F78" i="28"/>
  <c r="G75" i="28"/>
  <c r="H75" i="28"/>
  <c r="I75" i="28"/>
  <c r="J75" i="28"/>
  <c r="K75" i="28"/>
  <c r="L75" i="28"/>
  <c r="M75" i="28"/>
  <c r="N75" i="28"/>
  <c r="O75" i="28"/>
  <c r="P75" i="28"/>
  <c r="Q75" i="28"/>
  <c r="R75" i="28"/>
  <c r="S75" i="28"/>
  <c r="T75" i="28"/>
  <c r="U75" i="28"/>
  <c r="V75" i="28"/>
  <c r="W75" i="28"/>
  <c r="X75" i="28"/>
  <c r="Y75" i="28"/>
  <c r="Z75" i="28"/>
  <c r="AA75" i="28"/>
  <c r="AB75" i="28"/>
  <c r="AC75" i="28"/>
  <c r="G76" i="28"/>
  <c r="H76" i="28"/>
  <c r="I76" i="28"/>
  <c r="J76" i="28"/>
  <c r="K76" i="28"/>
  <c r="L76" i="28"/>
  <c r="M76" i="28"/>
  <c r="N76" i="28"/>
  <c r="O76" i="28"/>
  <c r="P76" i="28"/>
  <c r="Q76" i="28"/>
  <c r="R76" i="28"/>
  <c r="S76" i="28"/>
  <c r="T76" i="28"/>
  <c r="U76" i="28"/>
  <c r="V76" i="28"/>
  <c r="W76" i="28"/>
  <c r="X76" i="28"/>
  <c r="Y76" i="28"/>
  <c r="Z76" i="28"/>
  <c r="AA76" i="28"/>
  <c r="AB76" i="28"/>
  <c r="AC76" i="28"/>
  <c r="G77" i="28"/>
  <c r="H77" i="28"/>
  <c r="I77" i="28"/>
  <c r="J77" i="28"/>
  <c r="K77" i="28"/>
  <c r="L77" i="28"/>
  <c r="M77" i="28"/>
  <c r="N77" i="28"/>
  <c r="O77" i="28"/>
  <c r="P77" i="28"/>
  <c r="Q77" i="28"/>
  <c r="R77" i="28"/>
  <c r="S77" i="28"/>
  <c r="T77" i="28"/>
  <c r="U77" i="28"/>
  <c r="V77" i="28"/>
  <c r="W77" i="28"/>
  <c r="X77" i="28"/>
  <c r="Y77" i="28"/>
  <c r="Z77" i="28"/>
  <c r="AA77" i="28"/>
  <c r="AB77" i="28"/>
  <c r="AC77" i="28"/>
  <c r="F76" i="28"/>
  <c r="F77" i="28"/>
  <c r="F75" i="28"/>
  <c r="A25" i="28"/>
  <c r="A22" i="28"/>
  <c r="A19" i="28"/>
  <c r="A16" i="28"/>
  <c r="A13" i="28"/>
  <c r="A10" i="28"/>
  <c r="A7" i="28"/>
  <c r="A47" i="28"/>
  <c r="A44" i="28"/>
  <c r="A41" i="28"/>
  <c r="A38" i="28"/>
  <c r="A35" i="28"/>
  <c r="A32" i="28"/>
  <c r="A50" i="28" s="1"/>
  <c r="B47" i="28"/>
  <c r="B44" i="28"/>
  <c r="B41" i="28"/>
  <c r="B38" i="28"/>
  <c r="B35" i="28"/>
  <c r="B32" i="28"/>
  <c r="B50" i="28" s="1"/>
  <c r="A78" i="28"/>
  <c r="A75" i="28"/>
  <c r="A72" i="28"/>
  <c r="A69" i="28"/>
  <c r="A66" i="28"/>
  <c r="A63" i="28"/>
  <c r="A60" i="28"/>
  <c r="A81" i="28" s="1"/>
  <c r="A3" i="30"/>
  <c r="B25" i="28"/>
  <c r="B22" i="28"/>
  <c r="B19" i="28"/>
  <c r="B16" i="28"/>
  <c r="B13" i="28"/>
  <c r="B10" i="28"/>
  <c r="B7" i="28"/>
  <c r="AB26" i="28" l="1"/>
  <c r="AA26" i="28"/>
  <c r="F3" i="7"/>
  <c r="F4" i="7"/>
  <c r="A1" i="7"/>
  <c r="J1" i="21"/>
  <c r="A1" i="21"/>
  <c r="C14" i="9"/>
  <c r="C26" i="18"/>
  <c r="D31" i="14" l="1"/>
  <c r="D30" i="14"/>
  <c r="D29" i="14"/>
  <c r="B21" i="9"/>
  <c r="A1" i="14" l="1"/>
  <c r="C9" i="7"/>
  <c r="J4" i="1"/>
  <c r="K4" i="1"/>
  <c r="L4" i="1"/>
  <c r="M4" i="1"/>
  <c r="N4" i="1"/>
  <c r="O4" i="1"/>
  <c r="P4" i="1"/>
  <c r="Q4" i="1"/>
  <c r="R4" i="1"/>
  <c r="S4" i="1"/>
  <c r="T4" i="1"/>
  <c r="U4" i="1"/>
  <c r="V4" i="1"/>
  <c r="W4" i="1"/>
  <c r="X4" i="1"/>
  <c r="I4" i="1"/>
  <c r="B62" i="1"/>
  <c r="B63" i="1" l="1"/>
  <c r="E60" i="1" l="1"/>
  <c r="E61" i="1"/>
  <c r="E63" i="1" l="1"/>
  <c r="X54" i="1" l="1"/>
  <c r="W54" i="1"/>
  <c r="V54" i="1"/>
  <c r="U54" i="1"/>
  <c r="T54" i="1"/>
  <c r="S54" i="1"/>
  <c r="R54" i="1"/>
  <c r="Q54" i="1"/>
  <c r="P54" i="1"/>
  <c r="O54" i="1"/>
  <c r="N54" i="1"/>
  <c r="M54" i="1"/>
  <c r="L54" i="1"/>
  <c r="K54" i="1"/>
  <c r="J54" i="1"/>
  <c r="I54" i="1"/>
  <c r="A1" i="13" l="1"/>
  <c r="E26" i="18"/>
  <c r="I5" i="18"/>
  <c r="C5" i="18"/>
  <c r="H5" i="18" s="1"/>
  <c r="A5" i="18"/>
  <c r="AB9" i="21" l="1"/>
  <c r="H20" i="21"/>
  <c r="A11" i="30" l="1"/>
  <c r="A7" i="30"/>
  <c r="J13" i="1"/>
  <c r="J14" i="1" s="1"/>
  <c r="K13" i="1"/>
  <c r="K14" i="1" s="1"/>
  <c r="L13" i="1"/>
  <c r="L14" i="1" s="1"/>
  <c r="M13" i="1"/>
  <c r="M14" i="1" s="1"/>
  <c r="N13" i="1"/>
  <c r="N14" i="1" s="1"/>
  <c r="O13" i="1"/>
  <c r="O14" i="1" s="1"/>
  <c r="P13" i="1"/>
  <c r="P14" i="1" s="1"/>
  <c r="Q13" i="1"/>
  <c r="Q14" i="1" s="1"/>
  <c r="R13" i="1"/>
  <c r="R14" i="1" s="1"/>
  <c r="S13" i="1"/>
  <c r="S14" i="1" s="1"/>
  <c r="T13" i="1"/>
  <c r="T14" i="1" s="1"/>
  <c r="U13" i="1"/>
  <c r="U14" i="1" s="1"/>
  <c r="V13" i="1"/>
  <c r="V14" i="1" s="1"/>
  <c r="W13" i="1"/>
  <c r="W14" i="1" s="1"/>
  <c r="X13" i="1"/>
  <c r="X14" i="1" s="1"/>
  <c r="I13" i="1"/>
  <c r="I14" i="1" s="1"/>
  <c r="J8" i="1"/>
  <c r="K8" i="1"/>
  <c r="L8" i="1"/>
  <c r="M8" i="1"/>
  <c r="N8" i="1"/>
  <c r="O8" i="1"/>
  <c r="P8" i="1"/>
  <c r="Q8" i="1"/>
  <c r="R8" i="1"/>
  <c r="S8" i="1"/>
  <c r="T8" i="1"/>
  <c r="U8" i="1"/>
  <c r="V8" i="1"/>
  <c r="W8" i="1"/>
  <c r="X8" i="1"/>
  <c r="I8" i="1"/>
  <c r="A1" i="28"/>
  <c r="C11" i="7"/>
  <c r="A10" i="7"/>
  <c r="A11" i="7"/>
  <c r="A9" i="7"/>
  <c r="J29" i="1" l="1"/>
  <c r="K29" i="1"/>
  <c r="L29" i="1"/>
  <c r="M29" i="1"/>
  <c r="N29" i="1"/>
  <c r="O29" i="1"/>
  <c r="P29" i="1"/>
  <c r="Q29" i="1"/>
  <c r="R29" i="1"/>
  <c r="S29" i="1"/>
  <c r="T29" i="1"/>
  <c r="U29" i="1"/>
  <c r="V29" i="1"/>
  <c r="W29" i="1"/>
  <c r="X29" i="1"/>
  <c r="J24" i="1"/>
  <c r="K24" i="1"/>
  <c r="L24" i="1"/>
  <c r="M24" i="1"/>
  <c r="N24" i="1"/>
  <c r="O24" i="1"/>
  <c r="P24" i="1"/>
  <c r="Q24" i="1"/>
  <c r="R24" i="1"/>
  <c r="S24" i="1"/>
  <c r="T24" i="1"/>
  <c r="U24" i="1"/>
  <c r="V24" i="1"/>
  <c r="W24" i="1"/>
  <c r="X24" i="1"/>
  <c r="I29" i="1"/>
  <c r="I24" i="1"/>
  <c r="J32" i="1"/>
  <c r="K32" i="1"/>
  <c r="L32" i="1"/>
  <c r="M32" i="1"/>
  <c r="N32" i="1"/>
  <c r="O32" i="1"/>
  <c r="P32" i="1"/>
  <c r="Q32" i="1"/>
  <c r="R32" i="1"/>
  <c r="S32" i="1"/>
  <c r="T32" i="1"/>
  <c r="U32" i="1"/>
  <c r="V32" i="1"/>
  <c r="W32" i="1"/>
  <c r="X32" i="1"/>
  <c r="I32" i="1"/>
  <c r="J31" i="1"/>
  <c r="K31" i="1"/>
  <c r="L31" i="1"/>
  <c r="M31" i="1"/>
  <c r="N31" i="1"/>
  <c r="O31" i="1"/>
  <c r="P31" i="1"/>
  <c r="Q31" i="1"/>
  <c r="R31" i="1"/>
  <c r="S31" i="1"/>
  <c r="T31" i="1"/>
  <c r="U31" i="1"/>
  <c r="V31" i="1"/>
  <c r="W31" i="1"/>
  <c r="X31" i="1"/>
  <c r="I31" i="1"/>
  <c r="J5" i="13" l="1"/>
  <c r="I4" i="18"/>
  <c r="I3" i="18"/>
  <c r="B26" i="18" l="1"/>
  <c r="B5" i="18"/>
  <c r="G5" i="18" s="1"/>
  <c r="J5" i="18" s="1"/>
  <c r="D11" i="7"/>
  <c r="F11" i="7" s="1"/>
  <c r="G11" i="7" s="1"/>
  <c r="G10" i="9" l="1"/>
  <c r="G14" i="9"/>
  <c r="C12" i="9" l="1"/>
  <c r="G12" i="9" s="1"/>
  <c r="C35" i="25"/>
  <c r="C34" i="25"/>
  <c r="C33" i="25"/>
  <c r="A1" i="22"/>
  <c r="A1" i="27"/>
  <c r="N1" i="20"/>
  <c r="A1" i="29"/>
  <c r="A1" i="9"/>
  <c r="A1" i="25"/>
  <c r="A1" i="18"/>
  <c r="A1" i="30"/>
  <c r="A1" i="1"/>
  <c r="H5" i="13"/>
  <c r="H3" i="13"/>
  <c r="G4" i="13" l="1"/>
  <c r="J3" i="13"/>
  <c r="D9" i="7" s="1"/>
  <c r="F9" i="7" s="1"/>
  <c r="G9" i="7" l="1"/>
  <c r="J4" i="13"/>
  <c r="G6" i="13"/>
  <c r="C10" i="7"/>
  <c r="C4" i="18"/>
  <c r="H4" i="18" s="1"/>
  <c r="H4" i="13"/>
  <c r="H6" i="13" s="1"/>
  <c r="F4" i="13"/>
  <c r="D10" i="7" l="1"/>
  <c r="F10" i="7" s="1"/>
  <c r="B16" i="7" s="1"/>
  <c r="B17" i="7" s="1"/>
  <c r="B4" i="18"/>
  <c r="G4" i="18" s="1"/>
  <c r="J4" i="18" s="1"/>
  <c r="B22" i="9"/>
  <c r="F3" i="13"/>
  <c r="F5" i="13"/>
  <c r="C3" i="18"/>
  <c r="H3" i="18" s="1"/>
  <c r="F6" i="13" l="1"/>
  <c r="C13" i="9"/>
  <c r="G13" i="9" s="1"/>
  <c r="G16" i="9" s="1"/>
  <c r="B3" i="9" s="1"/>
  <c r="C11" i="9"/>
  <c r="G11" i="9" s="1"/>
  <c r="G15" i="9" s="1"/>
  <c r="G10" i="7"/>
  <c r="F16" i="7"/>
  <c r="F17" i="7" s="1"/>
  <c r="G19" i="7" s="1"/>
  <c r="N3" i="20"/>
  <c r="A4" i="18"/>
  <c r="A3" i="18"/>
  <c r="I19" i="7" l="1"/>
  <c r="E3" i="7"/>
  <c r="A3" i="9"/>
  <c r="G17" i="9"/>
  <c r="C3" i="9"/>
  <c r="C16" i="7"/>
  <c r="B3" i="18"/>
  <c r="G3" i="18" s="1"/>
  <c r="J3" i="18" s="1"/>
  <c r="D16" i="7" l="1"/>
  <c r="C17" i="7"/>
  <c r="G16" i="7"/>
  <c r="D4" i="7"/>
  <c r="D3" i="7"/>
  <c r="AB4" i="21"/>
  <c r="AB5" i="21"/>
  <c r="AB6" i="21"/>
  <c r="AB7" i="21"/>
  <c r="AB8" i="21"/>
  <c r="H5" i="21"/>
  <c r="H6" i="21"/>
  <c r="H7" i="21"/>
  <c r="H8" i="21"/>
  <c r="H9" i="21"/>
  <c r="H10" i="21"/>
  <c r="H11" i="21"/>
  <c r="H12" i="21"/>
  <c r="H13" i="21"/>
  <c r="H14" i="21"/>
  <c r="H15" i="21"/>
  <c r="H16" i="21"/>
  <c r="H17" i="21"/>
  <c r="H18" i="21"/>
  <c r="H19" i="21"/>
  <c r="H4" i="21"/>
  <c r="I16" i="7" l="1"/>
  <c r="E4" i="7"/>
  <c r="E16" i="7"/>
  <c r="E17" i="7" s="1"/>
  <c r="D17" i="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Yousefi, Fatemeh</author>
  </authors>
  <commentList>
    <comment ref="D34" authorId="0" shapeId="0" xr:uid="{483B09E7-C526-444F-B4A2-3F1F12F69A34}">
      <text>
        <r>
          <rPr>
            <b/>
            <sz val="9"/>
            <color indexed="81"/>
            <rFont val="Tahoma"/>
            <family val="2"/>
          </rPr>
          <t>Yousefi, Fatemeh:</t>
        </r>
        <r>
          <rPr>
            <sz val="9"/>
            <color indexed="81"/>
            <rFont val="Tahoma"/>
            <family val="2"/>
          </rPr>
          <t xml:space="preserve">
All other</t>
        </r>
      </text>
    </comment>
    <comment ref="D35" authorId="0" shapeId="0" xr:uid="{4A17E492-476C-4B34-997C-91683B6B5E5E}">
      <text>
        <r>
          <rPr>
            <b/>
            <sz val="9"/>
            <color indexed="81"/>
            <rFont val="Tahoma"/>
            <family val="2"/>
          </rPr>
          <t>Yousefi, Fatemeh:</t>
        </r>
        <r>
          <rPr>
            <sz val="9"/>
            <color indexed="81"/>
            <rFont val="Tahoma"/>
            <family val="2"/>
          </rPr>
          <t xml:space="preserve">
All other</t>
        </r>
      </text>
    </comment>
    <comment ref="D37" authorId="0" shapeId="0" xr:uid="{253E2F57-09D1-4F74-A9CB-F3EC0D3486ED}">
      <text>
        <r>
          <rPr>
            <b/>
            <sz val="9"/>
            <color indexed="81"/>
            <rFont val="Tahoma"/>
            <family val="2"/>
          </rPr>
          <t>Yousefi, Fatemeh:</t>
        </r>
        <r>
          <rPr>
            <sz val="9"/>
            <color indexed="81"/>
            <rFont val="Tahoma"/>
            <family val="2"/>
          </rPr>
          <t xml:space="preserve">
All other</t>
        </r>
      </text>
    </comment>
    <comment ref="D39" authorId="0" shapeId="0" xr:uid="{E5869B73-C380-4552-8FAB-B742327AB46B}">
      <text>
        <r>
          <rPr>
            <b/>
            <sz val="9"/>
            <color indexed="81"/>
            <rFont val="Tahoma"/>
            <family val="2"/>
          </rPr>
          <t>Yousefi, Fatemeh:</t>
        </r>
        <r>
          <rPr>
            <sz val="9"/>
            <color indexed="81"/>
            <rFont val="Tahoma"/>
            <family val="2"/>
          </rPr>
          <t xml:space="preserve">
All other</t>
        </r>
      </text>
    </comment>
    <comment ref="D40" authorId="0" shapeId="0" xr:uid="{6096A533-4270-4CCF-9EB0-E52C4CCECFCD}">
      <text>
        <r>
          <rPr>
            <b/>
            <sz val="9"/>
            <color indexed="81"/>
            <rFont val="Tahoma"/>
            <family val="2"/>
          </rPr>
          <t>Yousefi, Fatemeh:</t>
        </r>
        <r>
          <rPr>
            <sz val="9"/>
            <color indexed="81"/>
            <rFont val="Tahoma"/>
            <family val="2"/>
          </rPr>
          <t xml:space="preserve">
All other</t>
        </r>
      </text>
    </comment>
    <comment ref="D42" authorId="0" shapeId="0" xr:uid="{E4877534-0BB6-4BB3-B0A8-5681835F0B12}">
      <text>
        <r>
          <rPr>
            <b/>
            <sz val="9"/>
            <color indexed="81"/>
            <rFont val="Tahoma"/>
            <family val="2"/>
          </rPr>
          <t>Yousefi, Fatemeh:</t>
        </r>
        <r>
          <rPr>
            <sz val="9"/>
            <color indexed="81"/>
            <rFont val="Tahoma"/>
            <family val="2"/>
          </rPr>
          <t xml:space="preserve">
All other</t>
        </r>
      </text>
    </comment>
    <comment ref="D44" authorId="0" shapeId="0" xr:uid="{647299F8-68BD-491A-9772-2C77D56255E5}">
      <text>
        <r>
          <rPr>
            <b/>
            <sz val="9"/>
            <color indexed="81"/>
            <rFont val="Tahoma"/>
            <family val="2"/>
          </rPr>
          <t>Yousefi, Fatemeh:</t>
        </r>
        <r>
          <rPr>
            <sz val="9"/>
            <color indexed="81"/>
            <rFont val="Tahoma"/>
            <family val="2"/>
          </rPr>
          <t xml:space="preserve">
All other</t>
        </r>
      </text>
    </comment>
    <comment ref="D45" authorId="0" shapeId="0" xr:uid="{3DEEFCF3-9C06-44D1-BA07-840B6AEF3377}">
      <text>
        <r>
          <rPr>
            <b/>
            <sz val="9"/>
            <color indexed="81"/>
            <rFont val="Tahoma"/>
            <family val="2"/>
          </rPr>
          <t>Yousefi, Fatemeh:</t>
        </r>
        <r>
          <rPr>
            <sz val="9"/>
            <color indexed="81"/>
            <rFont val="Tahoma"/>
            <family val="2"/>
          </rPr>
          <t xml:space="preserve">
All other</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<sst xmlns="http://schemas.openxmlformats.org/spreadsheetml/2006/main" count="1072" uniqueCount="657">
  <si>
    <t>Data Sources</t>
  </si>
  <si>
    <t>Dataset</t>
  </si>
  <si>
    <t>Dodge 2023</t>
  </si>
  <si>
    <t>CEUS 2022</t>
  </si>
  <si>
    <t>CBECS 2018</t>
  </si>
  <si>
    <t>ComStock 2023</t>
  </si>
  <si>
    <t>Prototype</t>
  </si>
  <si>
    <r>
      <t>CEC prototype</t>
    </r>
    <r>
      <rPr>
        <sz val="10"/>
        <rFont val="Arial"/>
        <family val="2"/>
      </rPr>
      <t xml:space="preserve"> (CBECC 2022.3.1)</t>
    </r>
  </si>
  <si>
    <t>https://bees.noresco.com/software2022.html</t>
  </si>
  <si>
    <t xml:space="preserve"> </t>
  </si>
  <si>
    <t>PNNL prototype (90.1-2022)</t>
  </si>
  <si>
    <t>https://www.energycodes.gov/prototype-building-models#Commercial</t>
  </si>
  <si>
    <t>DEER prototype (June 2023)</t>
  </si>
  <si>
    <t>https://github.com/sound-data/DEER-Prototypes-EnergyPlus</t>
  </si>
  <si>
    <t>Codes</t>
  </si>
  <si>
    <t>Title 24, part 6, referred to as T24 (1986, 1992, 2001, 2007, 2013, 2016, 2019, 2022, 2025)</t>
  </si>
  <si>
    <t>ASHRAE 90.1 (2022)</t>
  </si>
  <si>
    <t>CFR Title 10 (2009)</t>
  </si>
  <si>
    <t>https://www.govinfo.gov/content/pkg/FR-2009-03-23/pdf/FR-2009-03-23.pdf</t>
  </si>
  <si>
    <t>CFR Title 10 ( 2013)</t>
  </si>
  <si>
    <t>https://www.govinfo.gov/content/pkg/CFR-2013-title10-vol3/pdf/CFR-2013-title10-vol3-part431.pdf</t>
  </si>
  <si>
    <t>CFR Title 10 ( 2024)</t>
  </si>
  <si>
    <t>https://www.govinfo.gov/content/pkg/CFR-2024-title10-vol3/pdf/CFR-2024-title10-vol3-part431-subpartF.pdf</t>
  </si>
  <si>
    <t>Others</t>
  </si>
  <si>
    <t>ACM (2013, 2019, 2022, 2025)</t>
  </si>
  <si>
    <t>Title 24, 2022 - Appendix 5.4A and Appendix 5.4B</t>
  </si>
  <si>
    <t>https://www.energy.ca.gov/publications/2022/2022-nonresidential-and-multifamily-alternative-calculation-method-reference</t>
  </si>
  <si>
    <t xml:space="preserve">2022 Reduced infiltration CASE report </t>
  </si>
  <si>
    <t>https://title24stakeholders.com/wp-content/uploads/2020/10/2022-T24-Final-CASE-Report_Reduce-Infiltration.pdf</t>
  </si>
  <si>
    <t>2019 Outdoor Lighting CASE Report</t>
  </si>
  <si>
    <t>https://title24stakeholders.com/wp-content/uploads/2016/10/T24-2019-CASE-Study-Results-Report-Outdoor-Sources_Final_with-Attachments.pdf</t>
  </si>
  <si>
    <t>PNNL 20405, 2010</t>
  </si>
  <si>
    <t>https://www.pnnl.gov/main/publications/external/technical_reports/PNNL-20405.pdf</t>
  </si>
  <si>
    <t>Air leakage Memo, NORESCO, 2025</t>
  </si>
  <si>
    <t>https://2050partners.sharepoint.com/:w:/r/sites/CalBEMCollaborativeEfforts/_layouts/15/Doc.aspx?sourcedoc=%7B3BEF8F74-7FAC-44F2-A70C-D76617660066%7D&amp;file=Infiltration_rate_report_14May2025-Short-Version.docx&amp;action=default&amp;mobileredirect=true</t>
  </si>
  <si>
    <t>Proposed Updates to Equipment Power Densities and Building Schedules for the 2028 Energy Code, referred to as "Plug load and schedules project with CEC, 2025" (Docket Number =25-BSTD-03  &amp; TN=265693)</t>
  </si>
  <si>
    <t>https://efiling.energy.ca.gov/GetDocument.aspx?tn=265693&amp;DocumentContentId=102545</t>
  </si>
  <si>
    <t>PNNL 17056, 2007: Technical Support Document: The Development of the Advanced Energy Design Guide for Small Warehouse and Self-Storage Buildings</t>
  </si>
  <si>
    <t>https://www.pnnl.gov/main/publications/external/technical_reports/PNNL-17056.pdf</t>
  </si>
  <si>
    <t>Construction Rate</t>
  </si>
  <si>
    <t>Notes</t>
  </si>
  <si>
    <t>Warehouse</t>
  </si>
  <si>
    <t>A mixed use warehouse with conditioned fine storage for temperature sensitive goods and a bulk storage for general inventory that only needs freeze protection.</t>
  </si>
  <si>
    <t xml:space="preserve">Construction rate based on Dodge 2023 </t>
  </si>
  <si>
    <t xml:space="preserve">Warehouse (STC:3) </t>
  </si>
  <si>
    <t>Year</t>
  </si>
  <si>
    <t>Total floor area (k ft2)</t>
  </si>
  <si>
    <t>Count</t>
  </si>
  <si>
    <t>NORESCO, Updated August 2025</t>
  </si>
  <si>
    <t>Characteristic</t>
  </si>
  <si>
    <t>Value</t>
  </si>
  <si>
    <t>Building Type</t>
  </si>
  <si>
    <t>Building Category</t>
  </si>
  <si>
    <t>Nonresidential</t>
  </si>
  <si>
    <t>Vintages</t>
  </si>
  <si>
    <t>4 Vintages: Pre-1978 , 1978-1997 ,1998-2007 , 2008-2018
New Construction (2019+)</t>
  </si>
  <si>
    <t>Based on the vintage bin analysis</t>
  </si>
  <si>
    <t>NonRes-Vintage bins-Draft Report-30Nov2023-Final.docx</t>
  </si>
  <si>
    <t>Shape</t>
  </si>
  <si>
    <t>Same as CBECC 2022</t>
  </si>
  <si>
    <t>Total Floor Area (ft²)</t>
  </si>
  <si>
    <t>52,045 (330 ft * 150 ft plus 2,550 ft² floor , see Zones tab)
The space above the office zone (lower-right zone, 2,550 ft²) is designated as storage and is part of the Fine Storage zone.</t>
  </si>
  <si>
    <t>Same as CBECC 2022 (supported by Dodge 2023)</t>
  </si>
  <si>
    <t>Aspect Ratio</t>
  </si>
  <si>
    <t>Number of Floors</t>
  </si>
  <si>
    <t>Roof type</t>
  </si>
  <si>
    <t>Flat</t>
  </si>
  <si>
    <t>WWR</t>
  </si>
  <si>
    <t>Shading Geometry</t>
  </si>
  <si>
    <t>No shades</t>
  </si>
  <si>
    <t>Floor to floor height (ft)</t>
  </si>
  <si>
    <t>Floor to ceiling height (ft)</t>
  </si>
  <si>
    <t>14 (office)</t>
  </si>
  <si>
    <t>Glazing sill height (ft)</t>
  </si>
  <si>
    <t>3 (Top of the window is 8 ft with 5 ft high glass)</t>
  </si>
  <si>
    <t>Background Data [To be deleted prior to publication]</t>
  </si>
  <si>
    <t>Existing public prototypes</t>
  </si>
  <si>
    <t>PNNL</t>
  </si>
  <si>
    <t>CEC</t>
  </si>
  <si>
    <t>CPUC Storage conditioned</t>
  </si>
  <si>
    <r>
      <t xml:space="preserve">CPUC  Refrigerated Warehouse </t>
    </r>
    <r>
      <rPr>
        <b/>
        <sz val="10"/>
        <color rgb="FFFF0000"/>
        <rFont val="Arial"/>
        <family val="2"/>
      </rPr>
      <t>(not under warehouse)</t>
    </r>
  </si>
  <si>
    <t>Geometry</t>
  </si>
  <si>
    <t>Roof area (ft²)</t>
  </si>
  <si>
    <t>Height (ft)</t>
  </si>
  <si>
    <t>People</t>
  </si>
  <si>
    <t>200 ft²/person Office</t>
  </si>
  <si>
    <t>0.005 person/ft² Office</t>
  </si>
  <si>
    <t>0.001 person/ft² North storage</t>
  </si>
  <si>
    <t>30 people Fine storage</t>
  </si>
  <si>
    <t>0.001 person/ft² Fine storage</t>
  </si>
  <si>
    <t>0.001 person/ft² Soth storage</t>
  </si>
  <si>
    <t>69 people Bulk storage</t>
  </si>
  <si>
    <t>0.001 person/ft² Bulk storage</t>
  </si>
  <si>
    <t>Lights (W/ft²)</t>
  </si>
  <si>
    <t>0.57 Office</t>
  </si>
  <si>
    <t>0.6 Office</t>
  </si>
  <si>
    <t>0.4 North storage</t>
  </si>
  <si>
    <t>0.62 Fine storage</t>
  </si>
  <si>
    <t>0.4 Fine storage</t>
  </si>
  <si>
    <t>0.4 South storage</t>
  </si>
  <si>
    <t>0.30 Bulk storage</t>
  </si>
  <si>
    <t>0.4 Bulk storage</t>
  </si>
  <si>
    <t>Ext lights (W)</t>
  </si>
  <si>
    <t>119 Office</t>
  </si>
  <si>
    <t>-</t>
  </si>
  <si>
    <t>2,955 Fine storage</t>
  </si>
  <si>
    <t>694 Bulk storage</t>
  </si>
  <si>
    <t>Electric Equipment</t>
  </si>
  <si>
    <t>1,912  W Office</t>
  </si>
  <si>
    <t>1.5 W/ft² Office</t>
  </si>
  <si>
    <t>0.2 W/ft² North storage</t>
  </si>
  <si>
    <t>0.2 W/ft² Fine storage</t>
  </si>
  <si>
    <t>0.2 W/ft² South storage</t>
  </si>
  <si>
    <t>8,200 Bulk  W storage</t>
  </si>
  <si>
    <t>0.2 W/ft² Bulk storage</t>
  </si>
  <si>
    <t>Heating Sizing Factor</t>
  </si>
  <si>
    <t>H&amp;C: 1.2</t>
  </si>
  <si>
    <t>H&amp;C:1</t>
  </si>
  <si>
    <t>H: 2.5 , C: 2.3</t>
  </si>
  <si>
    <t>HVAC</t>
  </si>
  <si>
    <t>Office: CAV no reheat, DX cooling coil: multi speed, Gas heating coil</t>
  </si>
  <si>
    <t>Office (sys7or3b): VAV+DX cooling coil+DX heating coil +Electric Heating coil</t>
  </si>
  <si>
    <t>MZ VAV Reheat + 1 Water cooling  coil +1 Water heating  coil+ 2 water heating coil for Reheat at terminal units, serving 2 zones</t>
  </si>
  <si>
    <t>Fine storage; CAV no reheat, DX cooling coil: multi speed, Gas heating coil</t>
  </si>
  <si>
    <t>Fine storage (sys7or3a):VAV+DX cooling coil: Gas Heating coil</t>
  </si>
  <si>
    <t>- Boiler</t>
  </si>
  <si>
    <t>Bulk storage: CAV+ Unit heater (Gas heating coil)</t>
  </si>
  <si>
    <t>Bulk storage (sys9): CAV+Gas Heating coil</t>
  </si>
  <si>
    <t>-Chiller</t>
  </si>
  <si>
    <t xml:space="preserve"> + (DX coil:multi speed high temperature Radiant (Always Off))</t>
  </si>
  <si>
    <t>Thermostat setpoint (F)</t>
  </si>
  <si>
    <t>Office: 70H , 75C (setback: 60H , 85C)</t>
  </si>
  <si>
    <t>North: 70H, 75C (setback: 60H , 85C)</t>
  </si>
  <si>
    <r>
      <t xml:space="preserve">Fine Storage: </t>
    </r>
    <r>
      <rPr>
        <sz val="10"/>
        <color rgb="FFFF0000"/>
        <rFont val="Arial"/>
        <family val="2"/>
      </rPr>
      <t>60H, 80C</t>
    </r>
  </si>
  <si>
    <r>
      <t>Fine Storage:</t>
    </r>
    <r>
      <rPr>
        <sz val="10"/>
        <color rgb="FFFF0000"/>
        <rFont val="Arial"/>
        <family val="2"/>
      </rPr>
      <t>70H , 75C</t>
    </r>
    <r>
      <rPr>
        <sz val="10"/>
        <color rgb="FF000000"/>
        <rFont val="Arial"/>
        <family val="2"/>
      </rPr>
      <t xml:space="preserve"> (setback: 60H , 85C)</t>
    </r>
  </si>
  <si>
    <r>
      <t xml:space="preserve">Bulk storage: </t>
    </r>
    <r>
      <rPr>
        <sz val="10"/>
        <color rgb="FFFF0000"/>
        <rFont val="Arial"/>
        <family val="2"/>
      </rPr>
      <t>50H</t>
    </r>
  </si>
  <si>
    <r>
      <t xml:space="preserve">Bulk storage: </t>
    </r>
    <r>
      <rPr>
        <sz val="10"/>
        <color rgb="FFFF0000"/>
        <rFont val="Arial"/>
        <family val="2"/>
      </rPr>
      <t>70H</t>
    </r>
    <r>
      <rPr>
        <sz val="10"/>
        <color rgb="FF000000"/>
        <rFont val="Arial"/>
        <family val="2"/>
      </rPr>
      <t xml:space="preserve"> (setback: 60H)</t>
    </r>
  </si>
  <si>
    <t>ZoneVentilation:design flow rate</t>
  </si>
  <si>
    <t>80,000 cfm exhaust rate Bulk storage</t>
  </si>
  <si>
    <r>
      <t>2,000  cfm natural ventilation rate Bulk storage (=</t>
    </r>
    <r>
      <rPr>
        <sz val="10"/>
        <color rgb="FF8238BA"/>
        <rFont val="Arial"/>
        <family val="2"/>
      </rPr>
      <t>0.06</t>
    </r>
    <r>
      <rPr>
        <sz val="10"/>
        <color rgb="FF000000"/>
        <rFont val="Arial"/>
        <family val="2"/>
      </rPr>
      <t>*34500 Bulk area)</t>
    </r>
  </si>
  <si>
    <t>Design specification: Outdoor Air (Cfm/ft²)</t>
  </si>
  <si>
    <t>0.085 Office</t>
  </si>
  <si>
    <t>0.15 Office</t>
  </si>
  <si>
    <t>0.15 North storage</t>
  </si>
  <si>
    <t>0.060 Fine storage</t>
  </si>
  <si>
    <t>0.15 Fine storage</t>
  </si>
  <si>
    <t>0.15 South storage</t>
  </si>
  <si>
    <r>
      <t>0.060</t>
    </r>
    <r>
      <rPr>
        <sz val="10"/>
        <color rgb="FF00B050"/>
        <rFont val="Arial"/>
        <family val="2"/>
      </rPr>
      <t xml:space="preserve"> Bulk storage</t>
    </r>
    <r>
      <rPr>
        <sz val="10"/>
        <color rgb="FF8238BA"/>
        <rFont val="Arial"/>
        <family val="2"/>
      </rPr>
      <t xml:space="preserve"> (for sizing only)</t>
    </r>
  </si>
  <si>
    <t>0.15 Bulk storage</t>
  </si>
  <si>
    <t>Airloop:HVAC</t>
  </si>
  <si>
    <t>2 objects for Office and Fine storage</t>
  </si>
  <si>
    <t>3 object for 3 zones</t>
  </si>
  <si>
    <t>1 object serving 2 zones</t>
  </si>
  <si>
    <t>Space/Thermal Zone</t>
  </si>
  <si>
    <t>Space Type</t>
  </si>
  <si>
    <t>HVAC Zone</t>
  </si>
  <si>
    <t>Schedule Category</t>
  </si>
  <si>
    <t>Conditioned (Y/N)</t>
  </si>
  <si>
    <t>Area Fraction</t>
  </si>
  <si>
    <t>Area (ft²)</t>
  </si>
  <si>
    <t>Volume (ft³)</t>
  </si>
  <si>
    <t>Multipliers</t>
  </si>
  <si>
    <t>Number of People</t>
  </si>
  <si>
    <t xml:space="preserve">People 
(Persons/1,000 ft²)
[T24, 2025,Table 120.1-A] </t>
  </si>
  <si>
    <t>Office</t>
  </si>
  <si>
    <t>Office Area (&gt;250 square feet)</t>
  </si>
  <si>
    <t>AHU_1</t>
  </si>
  <si>
    <t>Y</t>
  </si>
  <si>
    <t>FineStorage</t>
  </si>
  <si>
    <t>Storage, Commercial/Industrial (Warehouse)</t>
  </si>
  <si>
    <t>AHU_2</t>
  </si>
  <si>
    <t>BulkStorage</t>
  </si>
  <si>
    <t>AHU_3</t>
  </si>
  <si>
    <t>Total (3 Space)</t>
  </si>
  <si>
    <t>Total (2 space type)</t>
  </si>
  <si>
    <t>Total (3 HVAC Zones)</t>
  </si>
  <si>
    <t xml:space="preserve"> Total (3 Conditioned zones)</t>
  </si>
  <si>
    <t>Element</t>
  </si>
  <si>
    <t xml:space="preserve"> Assembly Type</t>
  </si>
  <si>
    <t>Construction</t>
  </si>
  <si>
    <t>Thermal properties</t>
  </si>
  <si>
    <t>Vintage</t>
  </si>
  <si>
    <t>Selected T24</t>
  </si>
  <si>
    <t>Note</t>
  </si>
  <si>
    <t>CZ1</t>
  </si>
  <si>
    <t>CZ2</t>
  </si>
  <si>
    <t>CZ3</t>
  </si>
  <si>
    <t>CZ4</t>
  </si>
  <si>
    <t>CZ5</t>
  </si>
  <si>
    <t>CZ6</t>
  </si>
  <si>
    <t>CZ7</t>
  </si>
  <si>
    <t>CZ8</t>
  </si>
  <si>
    <t>CZ9</t>
  </si>
  <si>
    <t>CZ10</t>
  </si>
  <si>
    <t>CZ11</t>
  </si>
  <si>
    <t>CZ12</t>
  </si>
  <si>
    <t>CZ13</t>
  </si>
  <si>
    <t>CZ14</t>
  </si>
  <si>
    <t>CZ15</t>
  </si>
  <si>
    <t>CZ16</t>
  </si>
  <si>
    <t xml:space="preserve">External Wall </t>
  </si>
  <si>
    <t>Metal Building Wall</t>
  </si>
  <si>
    <t xml:space="preserve"> Metal surface + Continuous Insulation + Metal panel</t>
  </si>
  <si>
    <t>U-factor IP</t>
  </si>
  <si>
    <t>Pre 1978</t>
  </si>
  <si>
    <t>N/A</t>
  </si>
  <si>
    <t>ASHRAE 90.1, 2022 Table A3.2.3, R-0</t>
  </si>
  <si>
    <t>1978-1997</t>
  </si>
  <si>
    <t>No Insulation. The U values calculated from the code based on HDD and Degree North Latitude were more than the U values of the previous vintage, so the U values of the previous vintage have been used.</t>
  </si>
  <si>
    <t>1998-2007</t>
  </si>
  <si>
    <t xml:space="preserve"> Table 1-H (Metal frame)</t>
  </si>
  <si>
    <t>2008-2018</t>
  </si>
  <si>
    <t>Table 140.3-B</t>
  </si>
  <si>
    <t>2019+</t>
  </si>
  <si>
    <t>Roof</t>
  </si>
  <si>
    <t>Metal Decking Roof</t>
  </si>
  <si>
    <t>Roof Membrane + Continuous Insulation + Metal Decking</t>
  </si>
  <si>
    <t>Considering 30 years for roof/ insulation replacement.</t>
  </si>
  <si>
    <t>Table 1-H</t>
  </si>
  <si>
    <t>Windows</t>
  </si>
  <si>
    <t>Fixed Window</t>
  </si>
  <si>
    <t xml:space="preserve">Single Pane (CBECS 2018, ~ 50 % of warehouse that were built before 2000 are single pane) </t>
  </si>
  <si>
    <t>ASHRAE Handbook of Fundamentals for single pane &amp; T24 2013 for double pane(50%-50%)</t>
  </si>
  <si>
    <t>Double pane</t>
  </si>
  <si>
    <t xml:space="preserve">Table 140.3-B </t>
  </si>
  <si>
    <t>SHGC</t>
  </si>
  <si>
    <t>ASHRAE Handbook of Fundamentals for single pane (Table 10-Ch15)  &amp; T24 2013 for double pane(50%-50%)</t>
  </si>
  <si>
    <t xml:space="preserve"> Table 1-H (Non north 0-10%)</t>
  </si>
  <si>
    <t>Skylight</t>
  </si>
  <si>
    <t>Translucent</t>
  </si>
  <si>
    <t>Table 1-I</t>
  </si>
  <si>
    <t>Plastic curb mounted</t>
  </si>
  <si>
    <t xml:space="preserve">Table 1-I </t>
  </si>
  <si>
    <t>Table 1-H (For SSR 2.1-5%)</t>
  </si>
  <si>
    <t xml:space="preserve">There is no requirement in the code (considered same as 2001) </t>
  </si>
  <si>
    <t>Infiltration</t>
  </si>
  <si>
    <t>Door infiltration</t>
  </si>
  <si>
    <t xml:space="preserve">I_75 (cfm/ft2)
6-sided Infiltration rate @ 75 pa </t>
  </si>
  <si>
    <t>Source</t>
  </si>
  <si>
    <t xml:space="preserve"> I-design (cfm/ft²) 
(4-sided Infiltration rate at normal pressure) 
(Design flow rate approach and Flow/Exterior Wall Area calculation method) </t>
  </si>
  <si>
    <t>Zone</t>
  </si>
  <si>
    <t>Infiltration Rate</t>
  </si>
  <si>
    <t>2022 CASE report (Table 38)</t>
  </si>
  <si>
    <t>374 cfm</t>
  </si>
  <si>
    <t>PPNL, ASHRAE 90.1- 2022 Warehouse prototype</t>
  </si>
  <si>
    <t>Office door Infiltration with maximum infiltration at 8 am, 13 pm, 18 pm.</t>
  </si>
  <si>
    <t>616 cfm
 (32*7+0.5+783*0.5)</t>
  </si>
  <si>
    <t>PNNL 17056, 2007</t>
  </si>
  <si>
    <t>Loading dock doors infiltration:
Assumptions: 
7 doors each 8 ft * 10 ft
783 cfm per door when dock doors open
32 cfm per door ( or 0.4 cfm/ sf of door area ) when dock doors close
Loading time from 8 am -12 pm
One  truck per hour with a 30 minutes of unloading time</t>
  </si>
  <si>
    <t>Technical Support Document: The Development of the Advanced Energy Design Guide for Small Warehouse and Self-Storage Buildings</t>
  </si>
  <si>
    <t>2022 CASE report (Table 38) &amp;
T24, 2008-2016 (Table 140.3-B)</t>
  </si>
  <si>
    <t>2022 CASE report (Table 38) &amp;  
T24, 2025 (Table 140.3-B)</t>
  </si>
  <si>
    <t>Source:  T24 air barrier requirements (all editions) , the standardized infiltration rate reported in the 2022 CASE report, and Dodge 2023 data</t>
  </si>
  <si>
    <t>Infiltration_rate_report_14May2025-Short-Version.docx</t>
  </si>
  <si>
    <t>T24, 2025</t>
  </si>
  <si>
    <t>140.3 (a) 6 A.</t>
  </si>
  <si>
    <t xml:space="preserve"> Skylights shall, have an area no greater than 5 percent of the gross exterior roof area Skylight Roof  Ratio (SRR).</t>
  </si>
  <si>
    <t>140.3 (c) 4.</t>
  </si>
  <si>
    <t>The total skylight area is at least 3% of the total floor area in the space within a  horizontal distance of 0.7 times the average ceiling height from the edge of rough opening of skylights; or the product of the total skylight area and the average skylight visible transmittance is no less than 1.5 percent of the total floor area in the space within a horizontal distance of 0.7 times the average ceiling height from the edge of rough opening of skylights.</t>
  </si>
  <si>
    <t>T24, 1986</t>
  </si>
  <si>
    <t>Metal Building</t>
  </si>
  <si>
    <t>Stucco + Continuous Insulation + Metal Framing + Gypsum 5/8in</t>
  </si>
  <si>
    <t>U factor</t>
  </si>
  <si>
    <t xml:space="preserve"> low-rise office: 
Package A/ Heat Capacity was considered 10.0-14.99 (Btu/F/ft²)</t>
  </si>
  <si>
    <t>These values are lower than the next code cycle.</t>
  </si>
  <si>
    <t>For  NEW NONRESIDENTIAL BUILDINGS OF OCCUPANCIES A, 5, E AND H:</t>
  </si>
  <si>
    <t>HDD for each CZ in CA</t>
  </si>
  <si>
    <t>&lt;3500</t>
  </si>
  <si>
    <t>weight of wall</t>
  </si>
  <si>
    <t xml:space="preserve"> &lt;10 lb/ft²</t>
  </si>
  <si>
    <t>TD eq  (&lt;10 lb/ft²)</t>
  </si>
  <si>
    <t>U wall  base on HDD</t>
  </si>
  <si>
    <t>MCF (&lt;10 lb/ft²)</t>
  </si>
  <si>
    <t>U wall  base on CDD</t>
  </si>
  <si>
    <t>Aow (ft²)=</t>
  </si>
  <si>
    <t>Awall (ft²)</t>
  </si>
  <si>
    <t>U wall (Btu/hr-ft²-F)</t>
  </si>
  <si>
    <t>Awindows(ft²) ~</t>
  </si>
  <si>
    <t>Min OTTV</t>
  </si>
  <si>
    <t>Frame Fig 2-53E</t>
  </si>
  <si>
    <t>Min Uow (HDD&lt; 3500)</t>
  </si>
  <si>
    <t>Frame Fig 2-53B</t>
  </si>
  <si>
    <t>Position of the loading dock doors ( Right side of the image)</t>
  </si>
  <si>
    <t xml:space="preserve">Heating </t>
  </si>
  <si>
    <t>Cooling</t>
  </si>
  <si>
    <t>Air Distribution</t>
  </si>
  <si>
    <t>Other Systems</t>
  </si>
  <si>
    <t xml:space="preserve">Existing  </t>
  </si>
  <si>
    <t xml:space="preserve">Furnace (Gas) </t>
  </si>
  <si>
    <t>DX (RTU)</t>
  </si>
  <si>
    <t>CAV</t>
  </si>
  <si>
    <t xml:space="preserve">Airside economizers (Integrated) </t>
  </si>
  <si>
    <t>CEUS 2022 + Engineering Judgement</t>
  </si>
  <si>
    <t>Fine Storage</t>
  </si>
  <si>
    <t>Bulk Storage</t>
  </si>
  <si>
    <t>Unit Heater (Gas) (lower heating setpoint )</t>
  </si>
  <si>
    <t>None</t>
  </si>
  <si>
    <t>Exhaust fan</t>
  </si>
  <si>
    <t>New Construction</t>
  </si>
  <si>
    <t>HP</t>
  </si>
  <si>
    <t>Airside economizers (Integrated)</t>
  </si>
  <si>
    <t>Unit Heater (Gas) (lower heating setpoint)</t>
  </si>
  <si>
    <r>
      <t>Efficiency of HVAC system</t>
    </r>
    <r>
      <rPr>
        <sz val="10"/>
        <color theme="0"/>
        <rFont val="Arial"/>
        <family val="2"/>
      </rPr>
      <t xml:space="preserve">
 (Efficiency is capacity-dependent. The following Table provides a general estimate of system efficiency based on what we saw in the existing prototype runs, or assuming cooling load based on rule of thumb)</t>
    </r>
  </si>
  <si>
    <t>Upgrade/Installed year</t>
  </si>
  <si>
    <t>Gas Furnace</t>
  </si>
  <si>
    <t>DX Cooling</t>
  </si>
  <si>
    <t>Unit Heater</t>
  </si>
  <si>
    <t>Thermal Efficiency of 80%</t>
  </si>
  <si>
    <t xml:space="preserve">EER=9.0  when system &lt;65 kBtu/h 
EER=9.7 when system &gt;65 &amp; &lt;135 kBtu/h
EER=9.5  when system &gt;135 &amp; &lt;240  kBtu/h  </t>
  </si>
  <si>
    <t>80% gas efficiency, no cooling</t>
  </si>
  <si>
    <t xml:space="preserve">T24, 2008 for systems &gt;65 kBtu/hr
CFR 2009 for systems &lt;65 kBtu/hr
</t>
  </si>
  <si>
    <t xml:space="preserve">EER=9.0  when system &lt;65 kBtu/h 
EER=11.2 when system &gt;65 &amp; &lt;135 kBtu/h
EER=11  when system &gt;135 &amp; &lt;240  kBtu/h  </t>
  </si>
  <si>
    <t>10 CFR 2013 (431.97, Table 1) / T24, 2025, ACM 2013</t>
  </si>
  <si>
    <t xml:space="preserve">SEER2=13.4  / Cop=3.3, EER=11  when system &lt;65 kBtu/h 
EER=11 when system &gt;65 &amp; &lt;135 kBtu/h
 EER=10.6 when system &gt;135 &amp; &lt;240  kBtu/h  </t>
  </si>
  <si>
    <t>10 CFR 2024 / T24, 2025, ACM 2025</t>
  </si>
  <si>
    <t>COP=EER/3.412</t>
  </si>
  <si>
    <t>COP Cooling:</t>
  </si>
  <si>
    <t>Fan Power</t>
  </si>
  <si>
    <t>Approach</t>
  </si>
  <si>
    <t>System</t>
  </si>
  <si>
    <t>Total Static Pressure (TSP)
(in w.c.)
[PNNL 20405, 2010, Table 5.11]</t>
  </si>
  <si>
    <t>Fan Efficiency
[ACM 2025]</t>
  </si>
  <si>
    <t>Fan Motor and Drive Efficiency 
[ACM 2025, Table 13]</t>
  </si>
  <si>
    <t>W/cfm
[ACM 2025, Table 14 and 15]</t>
  </si>
  <si>
    <t>Data Source</t>
  </si>
  <si>
    <t>Existing</t>
  </si>
  <si>
    <t>PNNL TSP</t>
  </si>
  <si>
    <t xml:space="preserve">CAV Office </t>
  </si>
  <si>
    <t>2.5  (system &lt;7,437 cfm)</t>
  </si>
  <si>
    <t>~0.9 (The full-load efficiency of the motor serving the fan- will be determined based on ACM 2025, Table 13)</t>
  </si>
  <si>
    <t>ACM 2025, PNNL 2010 TSD</t>
  </si>
  <si>
    <t>CAV Fine Storage</t>
  </si>
  <si>
    <t>2.5  (system &lt;7,437 cfm)
4.09  (system &gt;7,437 cfm</t>
  </si>
  <si>
    <t>Unit heater in Bulk Storage</t>
  </si>
  <si>
    <t>Brake horse power (bhp)=(Supply cfm*TSP in w.c.)/(6356*Fan efficiency)</t>
  </si>
  <si>
    <t>Fan power (w/cfm) = bhp/motor and drive efficiency *746</t>
  </si>
  <si>
    <t>ACM 2025</t>
  </si>
  <si>
    <t xml:space="preserve">HP Office </t>
  </si>
  <si>
    <t>0.744 (system &lt;5,000 cfm in office space</t>
  </si>
  <si>
    <t>ACM 2025, Table 15</t>
  </si>
  <si>
    <t>HP Fine Storage</t>
  </si>
  <si>
    <t>0.744 (system &lt;5,000 cfm in Fine Storage space</t>
  </si>
  <si>
    <t>0.605 (HEATVENT &gt;10,000 cfm)</t>
  </si>
  <si>
    <t>* 0.9 is an average fan efficiency according to ACM 2025, Table 13</t>
  </si>
  <si>
    <t>Fan total eff (E+ input) = 0.65 x Motor_eff</t>
  </si>
  <si>
    <t>TSP (E+ input) in w.c. = Motor_eff/746 x (6356 x Fan_eff) x W/cfm</t>
  </si>
  <si>
    <t>Fan_eff=0.65</t>
  </si>
  <si>
    <t>CEUS 2022:</t>
  </si>
  <si>
    <t xml:space="preserve">Water Heater </t>
  </si>
  <si>
    <t>Floorspace Heated</t>
  </si>
  <si>
    <t>Primary Heating
The default is the floorspace method unless otherwise specified</t>
  </si>
  <si>
    <t>Fuel Type</t>
  </si>
  <si>
    <t>Floorspace Cooled</t>
  </si>
  <si>
    <t>Primary Cooling
The default is the floorspace method unless otherwise specified</t>
  </si>
  <si>
    <t xml:space="preserve">Primary Air Dis 
The default is the floorspace method unless otherwise specified </t>
  </si>
  <si>
    <t>Package System / Heat Pump (80.0%)</t>
  </si>
  <si>
    <t>(50.9 % Gas,  48.8% Elec)</t>
  </si>
  <si>
    <t>Package System / Heat Pump (81.4%)</t>
  </si>
  <si>
    <t>Single Duct CAV (95.5%)</t>
  </si>
  <si>
    <t>(62.2% Elec, Gas 25.7%)</t>
  </si>
  <si>
    <t>*According to CEUS,~50% of the heating is provided by Electricity</t>
  </si>
  <si>
    <t>Existing public prototypes:</t>
  </si>
  <si>
    <t>CPUC</t>
  </si>
  <si>
    <t xml:space="preserve"> PNNL</t>
  </si>
  <si>
    <t xml:space="preserve">Office </t>
  </si>
  <si>
    <t xml:space="preserve">1 MZ VAV Reheat + 1 Water cooling  coil +1  Water heating  coil+ 2 water heating coil for Reheat at terminal units, serving 2 zones
- Boiler
-Chiller
</t>
  </si>
  <si>
    <t>VAV No Reheat: Office and Fine storage</t>
  </si>
  <si>
    <t>CAV, DX coil:multi speed, serving office 
CAV, DX coil: multi speed, serving fine storage
high temperature Radiant (Always Off), serving bulk storage</t>
  </si>
  <si>
    <t xml:space="preserve">Fine </t>
  </si>
  <si>
    <t>Bulk</t>
  </si>
  <si>
    <t>the 2008 T24 language has:</t>
  </si>
  <si>
    <t>2. If an economizer is required by Subparagraph 1, it shall be:</t>
  </si>
  <si>
    <t>A. Designed and equipped with controls so that economizer operation does not increase the building heating energy use during normal operation; and</t>
  </si>
  <si>
    <t>EXCEPTION to Section 144(e)2A: Systems that provide 75 percent of the annual energy used for mechanical heating from site-recovered energy or a site-solar energy source.</t>
  </si>
  <si>
    <t>B. Capable of providing partial cooling even when additional mechanical cooling is required to meet the remainder of the cooling load.</t>
  </si>
  <si>
    <t>Statewide</t>
  </si>
  <si>
    <t>Setpoint</t>
  </si>
  <si>
    <t xml:space="preserve"> Heating Setpoint (F)</t>
  </si>
  <si>
    <t>T24 2022 - Appendix 5.4B</t>
  </si>
  <si>
    <t xml:space="preserve"> Heating Setback (F)</t>
  </si>
  <si>
    <t xml:space="preserve"> Cooling Setpoint (F)</t>
  </si>
  <si>
    <t xml:space="preserve"> Cooling Setback (F)</t>
  </si>
  <si>
    <t xml:space="preserve"> Heating Setpoint (F)*</t>
  </si>
  <si>
    <t>PNNL ASHRAE 90.1 2022, Warehouse prototype</t>
  </si>
  <si>
    <t>* Bulk storage is defined as a  general inventory space that only needs freeze protection.</t>
  </si>
  <si>
    <t>Floor Area (ft²)</t>
  </si>
  <si>
    <t>cfm/person
[T24, 2025, Equation 120.1-F and Table 120.1-A]</t>
  </si>
  <si>
    <t>cfm/ft²  
[T24, 2025, Equation 120.1-F and Table 120.1-A]</t>
  </si>
  <si>
    <t>Required Exhaust Rate
[T24, 2025, Table 120.1-B – minimum exhaust rates]</t>
  </si>
  <si>
    <t>Total cfm 
Driven by People</t>
  </si>
  <si>
    <t>Total cfm 
Driven by Area</t>
  </si>
  <si>
    <t>Total cfm 
Driven by Exhaust</t>
  </si>
  <si>
    <t>Total cfm</t>
  </si>
  <si>
    <t xml:space="preserve">This amount of OA cfm appear low. May be updated with further research. </t>
  </si>
  <si>
    <t>Fine storage is defined for normal inventory that doesn't require an extra exhaust rate based on the space functions  in T24, Part6, 2025, Table 120.1 B.</t>
  </si>
  <si>
    <t>Bulk storage ventilation rate</t>
  </si>
  <si>
    <t>Spaces / Thermal Zones</t>
  </si>
  <si>
    <t>Number of people</t>
  </si>
  <si>
    <t>Floor area (ft²)</t>
  </si>
  <si>
    <t>Required exhaust rate
 (T24, 2025, Table 120.1-B – minimum exhaust rates)</t>
  </si>
  <si>
    <t xml:space="preserve">Bulk storage </t>
  </si>
  <si>
    <t>1.5 cfm/ft² for storage room, chemical</t>
  </si>
  <si>
    <t>It's assumed the  occupancy outdoor air requirement is provided through the door openings (It will be simulated same as PNNL natural ventilation object, but will not consume any fan energy)</t>
  </si>
  <si>
    <t>Existing prototype:</t>
  </si>
  <si>
    <t>PNNL, 90.1 2022</t>
  </si>
  <si>
    <t>CBECC 2022</t>
  </si>
  <si>
    <t>CPUC Storage conditioned, 2023</t>
  </si>
  <si>
    <r>
      <t xml:space="preserve">2,000  cfm </t>
    </r>
    <r>
      <rPr>
        <sz val="10"/>
        <color rgb="FFC00000"/>
        <rFont val="Arial"/>
        <family val="2"/>
      </rPr>
      <t>natural</t>
    </r>
    <r>
      <rPr>
        <sz val="10"/>
        <color rgb="FF000000"/>
        <rFont val="Arial"/>
        <family val="2"/>
      </rPr>
      <t xml:space="preserve"> ventilation rate Bulk storage (=</t>
    </r>
    <r>
      <rPr>
        <sz val="10"/>
        <color rgb="FF8238BA"/>
        <rFont val="Arial"/>
        <family val="2"/>
      </rPr>
      <t>0.06</t>
    </r>
    <r>
      <rPr>
        <sz val="10"/>
        <color rgb="FF000000"/>
        <rFont val="Arial"/>
        <family val="2"/>
      </rPr>
      <t>*34,500 Bulk area)</t>
    </r>
  </si>
  <si>
    <t>Design specification: Outdoor Air (cfm/ft²)</t>
  </si>
  <si>
    <r>
      <t>0.060</t>
    </r>
    <r>
      <rPr>
        <sz val="10"/>
        <color rgb="FF00B050"/>
        <rFont val="Arial"/>
        <family val="2"/>
      </rPr>
      <t xml:space="preserve"> Bulk storage </t>
    </r>
    <r>
      <rPr>
        <sz val="10"/>
        <rFont val="Arial"/>
        <family val="2"/>
      </rPr>
      <t>( used only for sizing)</t>
    </r>
  </si>
  <si>
    <t>PNNL, 90.1 2022 prototype, considers a huge exhaust rate of 80,000 cfm for bulk storage and no OA mechanical rate</t>
  </si>
  <si>
    <t>Resource for destratification fan:</t>
  </si>
  <si>
    <t>Destratification Fan Application Guide - Continental Fan</t>
  </si>
  <si>
    <t>WH Type</t>
  </si>
  <si>
    <t xml:space="preserve"> Efficiency</t>
  </si>
  <si>
    <t>Tank Volume (gal)</t>
  </si>
  <si>
    <t>Tank Loss</t>
  </si>
  <si>
    <t>Unit</t>
  </si>
  <si>
    <t xml:space="preserve">Electric resistance WH </t>
  </si>
  <si>
    <t>Loss per hour, 10 CFR 431.110(a) Table F-4</t>
  </si>
  <si>
    <t>Peak Hot Water Consumption</t>
  </si>
  <si>
    <t>Space Name</t>
  </si>
  <si>
    <t>Baseline WH Type 
[T24, 2022, Appendix 5.4A , sheet: "2022 SpaceFuncData-Input"]</t>
  </si>
  <si>
    <t>Total Area (ft²)</t>
  </si>
  <si>
    <t>Hot Water Usage Specification
(gal/hr per person)  
[T24, 2022, Appendix 5.4A , sheet: "2022 SpaceFuncData-Input"]</t>
  </si>
  <si>
    <t>Peak Hot Water Usage
(gal/hr)</t>
  </si>
  <si>
    <t>Peak Hot Water Usage
(gal/min)</t>
  </si>
  <si>
    <t>Electric</t>
  </si>
  <si>
    <t xml:space="preserve">Water Heater Capacity, Tank Capacity, and Tank Loss </t>
  </si>
  <si>
    <t>Heat Output (Btu/hr)
[ACM, 2025, 5.9.2: Rated capacity section]</t>
  </si>
  <si>
    <t>WH Capacity (Btu/hr)
[ACM, 2025, 5.9.2: Rated capacity section]</t>
  </si>
  <si>
    <t>Required Energy Input (Btu/hr)</t>
  </si>
  <si>
    <t>Storage Volume (gal)</t>
  </si>
  <si>
    <t xml:space="preserve">Standby Loss </t>
  </si>
  <si>
    <t>Off/On Cycle Loss Coefficient to Ambient Temp (Btu/h-F)</t>
  </si>
  <si>
    <t>%/hr</t>
  </si>
  <si>
    <t xml:space="preserve">Standby loss equation: Title 20, §1605.1 Table F-4 
WH capacity equation: ACM, 2025, 5.9.2: Rated capacity section)
</t>
  </si>
  <si>
    <t>Total</t>
  </si>
  <si>
    <t>Design supply temperature (F)</t>
  </si>
  <si>
    <t>Ref: T24 2022 - Appendix 5.4B</t>
  </si>
  <si>
    <t>Standby Loss for Existing</t>
  </si>
  <si>
    <t>Cold Water supply temperature (F)</t>
  </si>
  <si>
    <t>Ref: ACM, 2025, 5.9.2: Rated capacity section</t>
  </si>
  <si>
    <t>WH system factor</t>
  </si>
  <si>
    <t>Reheat multiplier</t>
  </si>
  <si>
    <t xml:space="preserve">* The 0.40 multiplier is a storage sizing factor used to account for the fact that the water heater doesn't need to store the full peak hour demand—it can reheat water during that time. This factor assumes that the heater will recover part of the hot water used during the peak hour, so only 40% of the peak hour demand needs to be stored at any given moment. </t>
  </si>
  <si>
    <t>Minimum tank storage (gal)</t>
  </si>
  <si>
    <t>Since the building is not big so there is no need to consider probability of coincident consumption</t>
  </si>
  <si>
    <t>Plug Load Power Density (W/ft²)</t>
  </si>
  <si>
    <t>Gas Power Density (Btu/hr-ft²)</t>
  </si>
  <si>
    <t>Refrigeration Power Density (W/ft²)</t>
  </si>
  <si>
    <t>Plug load and schedules project with CEC, 2025</t>
  </si>
  <si>
    <t>T24 2022 - Appendix 5.4A: "Space Use Data-T24N-2023"</t>
  </si>
  <si>
    <t>https://continentalfan.com/destratification-fan-application-guide/?utm</t>
  </si>
  <si>
    <t>U.S. Department of Energy, Better Buildings, "Battery Charging Basics for Forklifts" Pacific Northwest National Laboratory (PNNL), "Warehouse Energy Use: Characterization and Opportunities"
Class I–III electric forklift chargers typically draw 4–10 kW each.
Fast/Opportunity chargers may draw 10–20 kW, but 4–8 kW is most common.</t>
  </si>
  <si>
    <r>
      <rPr>
        <sz val="11"/>
        <color rgb="FF000000"/>
        <rFont val="Calibri"/>
        <family val="2"/>
        <scheme val="minor"/>
      </rPr>
      <t xml:space="preserve"> (From DOE BB resources / charger efficiency studies) : "Industrial battery chargers for Class I–III forklifts commonly draw </t>
    </r>
    <r>
      <rPr>
        <b/>
        <sz val="11"/>
        <color rgb="FF000000"/>
        <rFont val="Calibri"/>
        <family val="2"/>
        <scheme val="minor"/>
      </rPr>
      <t>4 to 8 kW</t>
    </r>
    <r>
      <rPr>
        <sz val="11"/>
        <color rgb="FF000000"/>
        <rFont val="Calibri"/>
        <family val="2"/>
        <scheme val="minor"/>
      </rPr>
      <t xml:space="preserve"> during bulk charging."</t>
    </r>
  </si>
  <si>
    <t xml:space="preserve">New Construction </t>
  </si>
  <si>
    <t>LPD (W/ft²)</t>
  </si>
  <si>
    <t>Additional LPD for Portable Lighting (W/ft²)</t>
  </si>
  <si>
    <t xml:space="preserve">LPD (W/ft²) </t>
  </si>
  <si>
    <t xml:space="preserve">T24, 2025, Table 140.6-C
(Area category method) </t>
  </si>
  <si>
    <t>T24, 2016, Table 140.6-C
(Area category method) 
LPD of "All other spaces" is considered for storage space</t>
  </si>
  <si>
    <t xml:space="preserve">Existing </t>
  </si>
  <si>
    <t>Whole Building</t>
  </si>
  <si>
    <t>All other building</t>
  </si>
  <si>
    <t>T24,  2019, Table 140.6 B</t>
  </si>
  <si>
    <t xml:space="preserve">Area Category </t>
  </si>
  <si>
    <t>T24, 2019, Table 140.6-C</t>
  </si>
  <si>
    <t>T24,  2016, Table 140.6 B</t>
  </si>
  <si>
    <t>ZONE1 OFFICE</t>
  </si>
  <si>
    <t>T24,  2016, Table 140.6-C</t>
  </si>
  <si>
    <t>ZONE2 FINE STORAGE</t>
  </si>
  <si>
    <t>ZONE3 BULK STORAGE</t>
  </si>
  <si>
    <t>T24, 2013, Table 140.6 B</t>
  </si>
  <si>
    <t>T24, 2013, Table 140.6-C</t>
  </si>
  <si>
    <t>Motion Controlled Luminaires (W)</t>
  </si>
  <si>
    <t>Non-motion Controlled Luminaires (W)</t>
  </si>
  <si>
    <t>Total (W)</t>
  </si>
  <si>
    <t>T24, 2022</t>
  </si>
  <si>
    <t xml:space="preserve">Exterior Lighting </t>
  </si>
  <si>
    <t>Items (Assume LZ2)</t>
  </si>
  <si>
    <t>Assumptions
[2019 Outdoor Lighting CASE Report &amp; PNNL 90.1-2010 TSD]</t>
  </si>
  <si>
    <t>Lighting Power Allowance 
[T24, 2025, Table 140.7-A &amp; 140.7-B]</t>
  </si>
  <si>
    <t>Exterior Lighting Power (W)</t>
  </si>
  <si>
    <t>IWA (Initial Wattage Allowance)</t>
  </si>
  <si>
    <t>(W)</t>
  </si>
  <si>
    <t>Parking area</t>
  </si>
  <si>
    <t xml:space="preserve"> 400 ft² for every parking space 
1 parking space per 830 ft² of gross building area </t>
  </si>
  <si>
    <t>(ft²)</t>
  </si>
  <si>
    <t>(W/ft²)</t>
  </si>
  <si>
    <t>Building Entrance</t>
  </si>
  <si>
    <t>5 building entrance (1 per 10,000 ft² footprint)</t>
  </si>
  <si>
    <t>(count)</t>
  </si>
  <si>
    <t>(W/ea)</t>
  </si>
  <si>
    <t>Hardscape Ornamental Light</t>
  </si>
  <si>
    <t>0.1 ft² per 1 ft² of gross building area for hardscape ornamental light</t>
  </si>
  <si>
    <t>Building façade</t>
  </si>
  <si>
    <t>0.1 W per 1 ft² of facade area 
Façade Area = Perimeter × 0.5 × 28 ft (30 ft is the max height that is lit) * 
The 0.5 factor assumes that only half of the perimeter walls are lit.
-Formula ia developed based on the 2019 Outdoor Lighting CASE report</t>
  </si>
  <si>
    <t>Motion controlled Luminaires</t>
  </si>
  <si>
    <t>Non-motion-controlled Luminaires</t>
  </si>
  <si>
    <t>TOTAL</t>
  </si>
  <si>
    <t>*Developed based on 2019 Outdoor Lighting CASE Report</t>
  </si>
  <si>
    <t>Perimeter (ft)</t>
  </si>
  <si>
    <t>Total floor area (ft²)</t>
  </si>
  <si>
    <t>Floors</t>
  </si>
  <si>
    <t>T24, part6, 2025, 130.2(c)3</t>
  </si>
  <si>
    <t>Hour</t>
  </si>
  <si>
    <t>Saturday</t>
  </si>
  <si>
    <t>Sunday</t>
  </si>
  <si>
    <t>Weekday</t>
  </si>
  <si>
    <t>Schedule</t>
  </si>
  <si>
    <t>Type</t>
  </si>
  <si>
    <t>Fine storage</t>
  </si>
  <si>
    <r>
      <t xml:space="preserve">T24 2022 - Appendix 5.4B, [Warehouse]
 </t>
    </r>
    <r>
      <rPr>
        <sz val="9"/>
        <color rgb="FF00B050"/>
        <rFont val="Arial"/>
        <family val="2"/>
      </rPr>
      <t xml:space="preserve">(Start and end hours of weekday schedule has been shifted to stay align with the plug load project with CEC)
</t>
    </r>
    <r>
      <rPr>
        <sz val="9"/>
        <color rgb="FF7030A0"/>
        <rFont val="Arial"/>
        <family val="2"/>
      </rPr>
      <t xml:space="preserve">
with Saturday Occupied.</t>
    </r>
  </si>
  <si>
    <t>Lights</t>
  </si>
  <si>
    <r>
      <t xml:space="preserve">T24 2022 - Appendix 5.4B, [Warehouse]
 </t>
    </r>
    <r>
      <rPr>
        <sz val="9"/>
        <color rgb="FF00B050"/>
        <rFont val="Arial"/>
        <family val="2"/>
      </rPr>
      <t>(Start and end hours of weekday schedule has been shifted to stay align with the plug load project with CEC)</t>
    </r>
    <r>
      <rPr>
        <sz val="9"/>
        <color theme="1"/>
        <rFont val="Arial"/>
        <family val="2"/>
      </rPr>
      <t xml:space="preserve">
</t>
    </r>
    <r>
      <rPr>
        <sz val="9"/>
        <color rgb="FF7030A0"/>
        <rFont val="Arial"/>
        <family val="2"/>
      </rPr>
      <t>with Saturday Occupied.</t>
    </r>
  </si>
  <si>
    <t>ElecEquipment</t>
  </si>
  <si>
    <r>
      <t xml:space="preserve">Plug load and schedules project with CEC, 2025 (weekday)
*New weekday schedule starts at 6 and ends at 17 instead of 8-18 in the Appendix 5.4B
</t>
    </r>
    <r>
      <rPr>
        <sz val="9"/>
        <color rgb="FF7030A0"/>
        <rFont val="Arial"/>
        <family val="2"/>
      </rPr>
      <t xml:space="preserve">with Saturday Occupied.
</t>
    </r>
    <r>
      <rPr>
        <sz val="9"/>
        <color rgb="FF0070C0"/>
        <rFont val="Arial"/>
        <family val="2"/>
      </rPr>
      <t xml:space="preserve">
</t>
    </r>
    <r>
      <rPr>
        <sz val="9"/>
        <rFont val="Arial"/>
        <family val="2"/>
      </rPr>
      <t>T24 2022 - Appendix 5.4B (weekend)</t>
    </r>
  </si>
  <si>
    <t>HVACAvail</t>
  </si>
  <si>
    <r>
      <t xml:space="preserve">T24 2022 - Appendix 5.4B, [Warehouse]
 </t>
    </r>
    <r>
      <rPr>
        <sz val="9"/>
        <color rgb="FF00B050"/>
        <rFont val="Arial"/>
        <family val="2"/>
      </rPr>
      <t xml:space="preserve">(Start and end hours of weekday schedule has been shifted to stay align with the plug load project with CEC)
</t>
    </r>
    <r>
      <rPr>
        <sz val="9"/>
        <color rgb="FF7030A0"/>
        <rFont val="Arial"/>
        <family val="2"/>
      </rPr>
      <t>with Saturday Occupied.</t>
    </r>
  </si>
  <si>
    <t>ServiceHotWater</t>
  </si>
  <si>
    <t>HtgSetpt</t>
  </si>
  <si>
    <r>
      <t xml:space="preserve">T24 2022 - Appendix 5.4B, [Warehouse]
</t>
    </r>
    <r>
      <rPr>
        <sz val="9"/>
        <color rgb="FF7030A0"/>
        <rFont val="Arial"/>
        <family val="2"/>
      </rPr>
      <t>with Saturday Occupied.</t>
    </r>
  </si>
  <si>
    <t>ClgSetpt</t>
  </si>
  <si>
    <t>Bulk storage</t>
  </si>
  <si>
    <r>
      <t xml:space="preserve">Plug load and schedules project with CEC, 2025 (weekday)
*New weekday schedule starts at 6 and ends at 17 instead of 8-18 in the Appendix 5.4B
</t>
    </r>
    <r>
      <rPr>
        <sz val="9"/>
        <color rgb="FF7030A0"/>
        <rFont val="Arial"/>
        <family val="2"/>
      </rPr>
      <t>with Saturday Occupied.</t>
    </r>
    <r>
      <rPr>
        <sz val="9"/>
        <color rgb="FF0070C0"/>
        <rFont val="Arial"/>
        <family val="2"/>
      </rPr>
      <t xml:space="preserve">
</t>
    </r>
    <r>
      <rPr>
        <sz val="9"/>
        <rFont val="Arial"/>
        <family val="2"/>
      </rPr>
      <t>T24 2022 - Appendix 5.4B (Sunday)</t>
    </r>
  </si>
  <si>
    <t xml:space="preserve">Developed based on Unit Heater </t>
  </si>
  <si>
    <r>
      <t xml:space="preserve">T24 2022 - Appendix 5.4B, [Warehouse]
 </t>
    </r>
    <r>
      <rPr>
        <sz val="9"/>
        <color rgb="FF00B050"/>
        <rFont val="Arial"/>
        <family val="2"/>
      </rPr>
      <t xml:space="preserve">(Start and end hours of weekday schedule has been shifted to stay align with the plug load project with CEC)
</t>
    </r>
    <r>
      <rPr>
        <sz val="9"/>
        <color theme="1"/>
        <rFont val="Arial"/>
        <family val="2"/>
      </rPr>
      <t xml:space="preserve">
</t>
    </r>
    <r>
      <rPr>
        <sz val="9"/>
        <color rgb="FF7030A0"/>
        <rFont val="Arial"/>
        <family val="2"/>
      </rPr>
      <t>with Saturday Occupied.</t>
    </r>
  </si>
  <si>
    <t>ForkliftEquipment</t>
  </si>
  <si>
    <r>
      <t xml:space="preserve">
</t>
    </r>
    <r>
      <rPr>
        <sz val="9"/>
        <color rgb="FF7030A0"/>
        <rFont val="Arial"/>
        <family val="2"/>
      </rPr>
      <t>with Saturday Occupied.</t>
    </r>
  </si>
  <si>
    <t>DoorInfiltration</t>
  </si>
  <si>
    <t>Occupancy</t>
  </si>
  <si>
    <r>
      <t xml:space="preserve">T24 2022 - Appendix 5.4B, [Office]
</t>
    </r>
    <r>
      <rPr>
        <sz val="9"/>
        <color rgb="FF0070C0"/>
        <rFont val="Arial"/>
        <family val="2"/>
      </rPr>
      <t xml:space="preserve">
Updated base on Plug load and schedules project with CEC, 2025</t>
    </r>
  </si>
  <si>
    <t>T24 2022 - Appendix 5.4B, [Office]</t>
  </si>
  <si>
    <t xml:space="preserve">ElecEquipment </t>
  </si>
  <si>
    <t xml:space="preserve">Plug load and schedules project with CEC, 2025 </t>
  </si>
  <si>
    <r>
      <t xml:space="preserve">T24 2022 - Appendix 5.4B, [Office]
</t>
    </r>
    <r>
      <rPr>
        <sz val="9"/>
        <color rgb="FF0070C0"/>
        <rFont val="Arial"/>
        <family val="2"/>
      </rPr>
      <t>Updated base on Plug load and schedules project with CEC, 202</t>
    </r>
  </si>
  <si>
    <t>Other</t>
  </si>
  <si>
    <t>Building</t>
  </si>
  <si>
    <t>ExtLightingNonMotionCtrl</t>
  </si>
  <si>
    <t>ExtLightingMotionCtrl</t>
  </si>
  <si>
    <t>FunctionalAreaPeopleActivityLevel</t>
  </si>
  <si>
    <t>FineStorage and Bulk Storage</t>
  </si>
  <si>
    <t>SaleStoragePeopleActivityLevel</t>
  </si>
  <si>
    <t>Plug load and schedules project with CEC, 2025 ( July 2025)</t>
  </si>
  <si>
    <t>The analysis of warehouse schedules indicated that, on weekdays, warehouses tend to begin operating earlier in the day, and end operating earlier than the current NMACM schedules. Therefore, a shift in the schedule is proposed as shown in Figure 5. No changes are proposed to the Saturday or Sunday schedules.</t>
  </si>
  <si>
    <t>CalBEM Energy Consumption - Warehouse</t>
  </si>
  <si>
    <t>CZ</t>
  </si>
  <si>
    <t>CalBEM Electricity EUI (KBTU/ft²)</t>
  </si>
  <si>
    <t>CalBEM Gas EUI (KBTU/ft²)</t>
  </si>
  <si>
    <t>CalBEM Total  EUI (KBTU/ft²)</t>
  </si>
  <si>
    <t>New Construction  Electricity EUI (KBTU/ft²)</t>
  </si>
  <si>
    <t>New Construction  Gas EUI (KBTU/ft²)</t>
  </si>
  <si>
    <t>New Construction  Total EUI (KBTU/ft²)</t>
  </si>
  <si>
    <t>National Average</t>
  </si>
  <si>
    <t>Acceptable Range (25% Higher)</t>
  </si>
  <si>
    <t>Acceptable Range (25% Lower)</t>
  </si>
  <si>
    <t>National Average Acceptable EUI Range</t>
  </si>
  <si>
    <t>Total Floorspace (Thousand of ft²)</t>
  </si>
  <si>
    <t>Electric Energy Intensity (kWh/ft²)</t>
  </si>
  <si>
    <t>Annual Gas Intensity (kWh/ft²)</t>
  </si>
  <si>
    <t>CEUS 2023 Total EUI (kBtu/ft²)</t>
  </si>
  <si>
    <t xml:space="preserve">CEUS 2022 Acceptable EUI Range </t>
  </si>
  <si>
    <t xml:space="preserve">Ref: CEUS 2022 Report </t>
  </si>
  <si>
    <t xml:space="preserve">And converted FZ level data to CZ level </t>
  </si>
  <si>
    <t>Vintage Bin</t>
  </si>
  <si>
    <t>Pre-1978</t>
  </si>
  <si>
    <t>Not available</t>
  </si>
  <si>
    <t>Ref: CEUS 2022 dataset</t>
  </si>
  <si>
    <t>TBD</t>
  </si>
  <si>
    <t>Space Function</t>
  </si>
  <si>
    <t>Electric Equipment Load Intensity</t>
  </si>
  <si>
    <t>LPD</t>
  </si>
  <si>
    <t>Aging Eye/Low-vision (Corridor Area)</t>
  </si>
  <si>
    <t>Aging Eye/Low-vision (Dining)</t>
  </si>
  <si>
    <t>Aging Eye/Low-vision (Lobby, Main Entry)</t>
  </si>
  <si>
    <t>Aging Eye/Low-vision (Lounge/Waiting Area)</t>
  </si>
  <si>
    <t>Aging Eye/Low-vision (Multipurpose Room)</t>
  </si>
  <si>
    <t>Aging Eye/Low-vision (Religious Worship Area)</t>
  </si>
  <si>
    <t>Aging Eye/Low-vision (Restroom)</t>
  </si>
  <si>
    <t>Aging Eye/Low-vision (Stairwell)</t>
  </si>
  <si>
    <t>Audience Seating Area</t>
  </si>
  <si>
    <t>Auditorium Area</t>
  </si>
  <si>
    <t>Auto Repair / Maintenance Area</t>
  </si>
  <si>
    <t>Barber, Beauty Salon, Spa Area</t>
  </si>
  <si>
    <t>Civic Meeting Place Area</t>
  </si>
  <si>
    <t>Classroom, Lecture, Training, Vocational Areas</t>
  </si>
  <si>
    <t>Concourse and Atria Area</t>
  </si>
  <si>
    <t>Convention, Conference, Multipurpose and Meeting Area</t>
  </si>
  <si>
    <t>Copy Room</t>
  </si>
  <si>
    <t>Corridor Area</t>
  </si>
  <si>
    <t>Dining Area (Bar/Lounge and Fine Dining)</t>
  </si>
  <si>
    <t>Dining Area (Cafeteria/Fast Food)</t>
  </si>
  <si>
    <t>Dining Area (Family and Leisure)</t>
  </si>
  <si>
    <t>Electrical, Mechanical, Telephone Rooms</t>
  </si>
  <si>
    <t>Exercise/Fitness Center and Gymnasium Areas</t>
  </si>
  <si>
    <t>Financial Transaction Area</t>
  </si>
  <si>
    <t>Healthcare Facility and Hospitals (Exam/Treatment Room)</t>
  </si>
  <si>
    <t>Healthcare Facility and Hospitals (Imaging Room)</t>
  </si>
  <si>
    <t>Healthcare Facility and Hospitals (Medical Supply Room)</t>
  </si>
  <si>
    <t>Healthcare Facility and Hospitals (Nursery)</t>
  </si>
  <si>
    <t>Healthcare Facility and Hospitals (Nurse's Station)</t>
  </si>
  <si>
    <t>Healthcare Facility and Hospitals (Operating Room)</t>
  </si>
  <si>
    <t>Healthcare Facility and Hospitals (Patient Room)</t>
  </si>
  <si>
    <t>Healthcare Facility and Hospitals (Physical Therapy Room)</t>
  </si>
  <si>
    <t>Healthcare Facility and Hospitals (Recovery Room)</t>
  </si>
  <si>
    <t>Hotel Function Area</t>
  </si>
  <si>
    <t>Kitchen/Food Preparation Area</t>
  </si>
  <si>
    <t>Kitchenette or Residential Kitchen</t>
  </si>
  <si>
    <t>Laboratory, Scientific</t>
  </si>
  <si>
    <t xml:space="preserve">Laundry Area </t>
  </si>
  <si>
    <t>Library (Reading Area)</t>
  </si>
  <si>
    <t>Library (Stacks Area)</t>
  </si>
  <si>
    <t>Lobby, Main Entry</t>
  </si>
  <si>
    <t>Locker Room</t>
  </si>
  <si>
    <t>Lounge, Breakroom, or Waiting Area</t>
  </si>
  <si>
    <t>Manufacturing, Commercial &amp; Industrial Work Area (Low Bay)</t>
  </si>
  <si>
    <t>Manufacturing, Commercial &amp; Industrial Work Area (High Bay)</t>
  </si>
  <si>
    <t>Manufacturing, Commercial &amp; Industrial Work Area (Precision)</t>
  </si>
  <si>
    <t>Museum Area (Exhibition/Display)</t>
  </si>
  <si>
    <t>Museum Area (Restoration Room)</t>
  </si>
  <si>
    <t>Office Area (&lt;250 square feet)</t>
  </si>
  <si>
    <t>Parking Garage Area (Parking Zone and Ramps)</t>
  </si>
  <si>
    <t>Parking Garage Area (Daylight Adaptation Zones)</t>
  </si>
  <si>
    <t>Pharmacy Area</t>
  </si>
  <si>
    <t>Retail Sales Area (Grocery Sales)</t>
  </si>
  <si>
    <t>Retail Sales Area (Retail Merchandise Sales)</t>
  </si>
  <si>
    <t>Retail Sales Area (Fitting Room)</t>
  </si>
  <si>
    <t>Religious Worship Area</t>
  </si>
  <si>
    <t>Restrooms</t>
  </si>
  <si>
    <t>Stairwell</t>
  </si>
  <si>
    <t>Storage, Commercial/Industrial (Refrigerated)</t>
  </si>
  <si>
    <t>Storage, Commercial/Industrial (Shipping &amp; Handling)</t>
  </si>
  <si>
    <t>Storage (General)</t>
  </si>
  <si>
    <t>Sports Arena - Playing Area (&gt; 5,000 Spectators)</t>
  </si>
  <si>
    <t>Sports Arena - Playing Area (2,000 - 5,000 Spectators)</t>
  </si>
  <si>
    <t>Sports Arena - Playing Area (&lt; 2,000 Spectators)</t>
  </si>
  <si>
    <t>Sports Arena - Playing Area (Recreational)</t>
  </si>
  <si>
    <t>Theater Area (Motion Picture)</t>
  </si>
  <si>
    <t>Theater Area (Performance)</t>
  </si>
  <si>
    <t>Transportation Function (Baggage Area)</t>
  </si>
  <si>
    <t>Transportation Function (Ticketing Area)</t>
  </si>
  <si>
    <t>Videoconferencing Studio</t>
  </si>
  <si>
    <t>High-Rise Residential Living Spaces</t>
  </si>
  <si>
    <t>Hotel/Motel Guest Room</t>
  </si>
  <si>
    <t>All other</t>
  </si>
  <si>
    <t>Attic</t>
  </si>
  <si>
    <t>Reception Area</t>
  </si>
  <si>
    <t>Elevator</t>
  </si>
  <si>
    <t>Plenum</t>
  </si>
  <si>
    <t>IT Room (EPD 12)</t>
  </si>
  <si>
    <t>Computer Room (EPD 20)</t>
  </si>
  <si>
    <t>Server Room (EPD 45)</t>
  </si>
  <si>
    <t>Developed based on HVACAvail and Thermostat setpoints</t>
  </si>
  <si>
    <t xml:space="preserve">Based on Activity level schedules in  CEC Prototypes </t>
  </si>
  <si>
    <t>Electricity usage for charging forklift machines/robots, distributed to both storage space. 
Assumption: 5 Charger each 10 K ,  0.7 diversity</t>
  </si>
  <si>
    <t>Electricity usage of destratification fans.
Assumptions: 2 ACH  (Bulk Storage: 32,197 cfm (965,908*2/60)  FineStorage:12808 cfm (384,263*2/60)) ,  3 HVLS fans each ~15,000 cfm and 1.5 kw for each: Total 0.09  w/sf 
https://continentalfan.com/wp-content/uploads/2022/12/Destratification_Fans_Wholesale_Ventilation_Products.pdf?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</si>
</sst>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0">
    <numFmt numFmtId="43" formatCode="_(* #,##0.00_);_(* \(#,##0.00\);_(* &quot;-&quot;??_);_(@_)"/>
    <numFmt numFmtId="164" formatCode="0.0%"/>
    <numFmt numFmtId="165" formatCode="0.0"/>
    <numFmt numFmtId="166" formatCode="#,##0.0"/>
    <numFmt numFmtId="168" formatCode="0.000"/>
    <numFmt numFmtId="169" formatCode="_(* #,##0_);_(* \(#,##0\);_(* &quot;-&quot;??_);_(@_)"/>
    <numFmt numFmtId="170" formatCode="#,##0;\-0;[Color15]0"/>
    <numFmt numFmtId="171" formatCode="_(* #,##0.0_);_(* \(#,##0.0\);_(* &quot;-&quot;?????_);_(@_)"/>
    <numFmt numFmtId="172" formatCode="#,##0.0;\-0.0;[Color15]0.0"/>
    <numFmt numFmtId="173" formatCode="_(* #,##0.0_);_(* \(#,##0.0\);_(* &quot;-&quot;??_);_(@_)"/>
  </numFmts>
  <fonts count="68" x14ac:knownFonts="1">
    <font>
      <sz val="11"/>
      <color theme="1"/>
      <name val="Calibri"/>
      <family val="2"/>
      <scheme val="minor"/>
    </font>
    <font>
      <sz val="10"/>
      <name val="Arial"/>
      <family val="2"/>
    </font>
    <font>
      <sz val="11"/>
      <color theme="1"/>
      <name val="Calibri"/>
      <family val="2"/>
      <scheme val="minor"/>
    </font>
    <font>
      <b/>
      <sz val="11"/>
      <color theme="1"/>
      <name val="Calibri"/>
      <family val="2"/>
      <scheme val="minor"/>
    </font>
    <font>
      <b/>
      <sz val="9"/>
      <color indexed="81"/>
      <name val="Tahoma"/>
      <family val="2"/>
    </font>
    <font>
      <sz val="9"/>
      <color indexed="81"/>
      <name val="Tahoma"/>
      <family val="2"/>
    </font>
    <font>
      <sz val="8"/>
      <color indexed="8"/>
      <name val="MS Sans Serif"/>
      <family val="2"/>
    </font>
    <font>
      <sz val="8"/>
      <name val="Calibri"/>
      <family val="2"/>
      <scheme val="minor"/>
    </font>
    <font>
      <sz val="10"/>
      <color theme="1"/>
      <name val="Arial"/>
      <family val="2"/>
    </font>
    <font>
      <b/>
      <sz val="10"/>
      <color theme="1"/>
      <name val="Arial"/>
      <family val="2"/>
    </font>
    <font>
      <u/>
      <sz val="11"/>
      <color theme="10"/>
      <name val="Calibri"/>
      <family val="2"/>
      <scheme val="minor"/>
    </font>
    <font>
      <b/>
      <sz val="11"/>
      <color theme="0"/>
      <name val="Calibri"/>
      <family val="2"/>
      <scheme val="minor"/>
    </font>
    <font>
      <sz val="10"/>
      <color indexed="8"/>
      <name val="Arial"/>
      <family val="2"/>
    </font>
    <font>
      <sz val="11"/>
      <color theme="0"/>
      <name val="Calibri"/>
      <family val="2"/>
      <scheme val="minor"/>
    </font>
    <font>
      <sz val="11"/>
      <color theme="1"/>
      <name val="Arial"/>
      <family val="2"/>
    </font>
    <font>
      <b/>
      <sz val="12"/>
      <color theme="0"/>
      <name val="Arial"/>
      <family val="2"/>
    </font>
    <font>
      <sz val="11"/>
      <color rgb="FF000000"/>
      <name val="Calibri"/>
      <family val="2"/>
      <scheme val="minor"/>
    </font>
    <font>
      <b/>
      <sz val="14"/>
      <color theme="1"/>
      <name val="Arial"/>
      <family val="2"/>
    </font>
    <font>
      <u/>
      <sz val="10"/>
      <color theme="10"/>
      <name val="Arial"/>
      <family val="2"/>
    </font>
    <font>
      <b/>
      <sz val="11"/>
      <color rgb="FFFF0000"/>
      <name val="Calibri"/>
      <family val="2"/>
      <scheme val="minor"/>
    </font>
    <font>
      <sz val="11"/>
      <color rgb="FF0070C0"/>
      <name val="Arial"/>
      <family val="2"/>
    </font>
    <font>
      <b/>
      <sz val="10"/>
      <name val="Arial"/>
      <family val="2"/>
    </font>
    <font>
      <b/>
      <sz val="10"/>
      <color indexed="8"/>
      <name val="Arial"/>
      <family val="2"/>
    </font>
    <font>
      <sz val="10"/>
      <color rgb="FFFF0000"/>
      <name val="Arial"/>
      <family val="2"/>
    </font>
    <font>
      <sz val="10"/>
      <color rgb="FFC00000"/>
      <name val="Arial"/>
      <family val="2"/>
    </font>
    <font>
      <sz val="9"/>
      <color theme="1"/>
      <name val="Arial"/>
      <family val="2"/>
    </font>
    <font>
      <sz val="10"/>
      <color rgb="FF000000"/>
      <name val="Arial"/>
      <family val="2"/>
    </font>
    <font>
      <b/>
      <sz val="10"/>
      <color rgb="FF000000"/>
      <name val="Arial"/>
      <family val="2"/>
    </font>
    <font>
      <b/>
      <sz val="9"/>
      <color theme="0"/>
      <name val="Arial"/>
      <family val="2"/>
    </font>
    <font>
      <sz val="11"/>
      <color theme="1"/>
      <name val="Arial"/>
      <family val="2"/>
    </font>
    <font>
      <b/>
      <sz val="14"/>
      <color theme="1"/>
      <name val="Arial"/>
      <family val="2"/>
    </font>
    <font>
      <sz val="11"/>
      <color theme="0"/>
      <name val="Arial"/>
      <family val="2"/>
    </font>
    <font>
      <sz val="12"/>
      <color theme="1"/>
      <name val="Aptos"/>
      <family val="2"/>
    </font>
    <font>
      <sz val="12"/>
      <color theme="1"/>
      <name val="Arial"/>
      <family val="2"/>
    </font>
    <font>
      <b/>
      <sz val="11"/>
      <color rgb="FF0000CC"/>
      <name val="Arial"/>
      <family val="2"/>
    </font>
    <font>
      <sz val="11"/>
      <color rgb="FFC00000"/>
      <name val="Arial"/>
      <family val="2"/>
    </font>
    <font>
      <sz val="11"/>
      <name val="Aptos Narrow"/>
      <family val="2"/>
    </font>
    <font>
      <sz val="11"/>
      <color rgb="FFFF0000"/>
      <name val="Aptos Narrow"/>
      <family val="2"/>
    </font>
    <font>
      <sz val="10"/>
      <color theme="0"/>
      <name val="Arial"/>
      <family val="2"/>
    </font>
    <font>
      <sz val="10"/>
      <color rgb="FF0070C0"/>
      <name val="Arial"/>
      <family val="2"/>
    </font>
    <font>
      <sz val="9"/>
      <color rgb="FF0070C0"/>
      <name val="Arial"/>
      <family val="2"/>
    </font>
    <font>
      <sz val="11"/>
      <color rgb="FF000000"/>
      <name val="Arial"/>
      <family val="2"/>
    </font>
    <font>
      <b/>
      <sz val="10"/>
      <color rgb="FFFF0000"/>
      <name val="Arial"/>
      <family val="2"/>
    </font>
    <font>
      <b/>
      <sz val="10"/>
      <color rgb="FF0070C0"/>
      <name val="Aptos"/>
      <family val="2"/>
    </font>
    <font>
      <b/>
      <sz val="12"/>
      <color rgb="FFFFFFFF"/>
      <name val="Arial"/>
      <family val="2"/>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sz val="11"/>
      <color rgb="FFFF0000"/>
      <name val="Calibri"/>
      <family val="2"/>
      <scheme val="minor"/>
    </font>
    <font>
      <i/>
      <sz val="11"/>
      <color rgb="FF7F7F7F"/>
      <name val="Calibri"/>
      <family val="2"/>
      <scheme val="minor"/>
    </font>
    <font>
      <sz val="10"/>
      <color rgb="FF8238BA"/>
      <name val="Arial"/>
      <family val="2"/>
    </font>
    <font>
      <sz val="10"/>
      <color rgb="FF00B050"/>
      <name val="Arial"/>
      <family val="2"/>
    </font>
    <font>
      <b/>
      <sz val="18"/>
      <color theme="3"/>
      <name val="Calibri Light"/>
      <family val="2"/>
      <scheme val="major"/>
    </font>
    <font>
      <sz val="11"/>
      <color rgb="FF9C6500"/>
      <name val="Calibri"/>
      <family val="2"/>
      <scheme val="minor"/>
    </font>
    <font>
      <sz val="9"/>
      <name val="Arial"/>
      <family val="2"/>
    </font>
    <font>
      <sz val="10"/>
      <color rgb="FF000000"/>
      <name val="Tahoma"/>
      <family val="2"/>
    </font>
    <font>
      <sz val="9"/>
      <color rgb="FF00B050"/>
      <name val="Arial"/>
      <family val="2"/>
    </font>
    <font>
      <b/>
      <sz val="11"/>
      <color theme="1"/>
      <name val="Arial"/>
      <family val="2"/>
    </font>
    <font>
      <sz val="11"/>
      <name val="Arial"/>
      <family val="2"/>
    </font>
    <font>
      <b/>
      <sz val="11"/>
      <color rgb="FF000000"/>
      <name val="Calibri"/>
      <family val="2"/>
      <scheme val="minor"/>
    </font>
    <font>
      <b/>
      <sz val="11"/>
      <color theme="0"/>
      <name val="Arial"/>
      <family val="2"/>
    </font>
    <font>
      <sz val="9"/>
      <color rgb="FF7030A0"/>
      <name val="Arial"/>
      <family val="2"/>
    </font>
  </fonts>
  <fills count="52">
    <fill>
      <patternFill patternType="none"/>
    </fill>
    <fill>
      <patternFill patternType="gray125"/>
    </fill>
    <fill>
      <patternFill patternType="solid">
        <fgColor rgb="FF92D050"/>
        <bgColor indexed="64"/>
      </patternFill>
    </fill>
    <fill>
      <patternFill patternType="solid">
        <fgColor theme="0" tint="-0.249977111117893"/>
        <bgColor indexed="64"/>
      </patternFill>
    </fill>
    <fill>
      <patternFill patternType="solid">
        <fgColor theme="0"/>
        <bgColor indexed="64"/>
      </patternFill>
    </fill>
    <fill>
      <patternFill patternType="solid">
        <fgColor theme="0" tint="-0.14999847407452621"/>
        <bgColor indexed="64"/>
      </patternFill>
    </fill>
    <fill>
      <patternFill patternType="solid">
        <fgColor theme="5" tint="0.59999389629810485"/>
        <bgColor indexed="64"/>
      </patternFill>
    </fill>
    <fill>
      <patternFill patternType="solid">
        <fgColor theme="4" tint="0.79998168889431442"/>
        <bgColor indexed="64"/>
      </patternFill>
    </fill>
    <fill>
      <patternFill patternType="solid">
        <fgColor theme="0" tint="-4.9989318521683403E-2"/>
        <bgColor indexed="64"/>
      </patternFill>
    </fill>
    <fill>
      <patternFill patternType="solid">
        <fgColor theme="4" tint="-0.499984740745262"/>
        <bgColor indexed="64"/>
      </patternFill>
    </fill>
    <fill>
      <patternFill patternType="solid">
        <fgColor theme="3" tint="0.89999084444715716"/>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rgb="FFD9E1F2"/>
        <bgColor rgb="FF000000"/>
      </patternFill>
    </fill>
    <fill>
      <patternFill patternType="solid">
        <fgColor rgb="FF203764"/>
        <bgColor rgb="FF000000"/>
      </patternFill>
    </fill>
    <fill>
      <patternFill patternType="solid">
        <fgColor theme="0" tint="-0.34998626667073579"/>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E2EFDA"/>
        <bgColor rgb="FF000000"/>
      </patternFill>
    </fill>
    <fill>
      <patternFill patternType="solid">
        <fgColor rgb="FFFFFFFF"/>
        <bgColor rgb="FF000000"/>
      </patternFill>
    </fill>
    <fill>
      <patternFill patternType="solid">
        <fgColor rgb="FFD9D9D9"/>
        <bgColor rgb="FF000000"/>
      </patternFill>
    </fill>
    <fill>
      <patternFill patternType="lightUp"/>
    </fill>
    <fill>
      <patternFill patternType="solid">
        <fgColor rgb="FFFFF2CC"/>
        <bgColor rgb="FF000000"/>
      </patternFill>
    </fill>
  </fills>
  <borders count="263">
    <border>
      <left/>
      <right/>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bottom/>
      <diagonal/>
    </border>
    <border>
      <left style="thin">
        <color indexed="64"/>
      </left>
      <right/>
      <top/>
      <bottom/>
      <diagonal/>
    </border>
    <border>
      <left/>
      <right style="thin">
        <color indexed="64"/>
      </right>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theme="0" tint="-0.499984740745262"/>
      </left>
      <right style="thin">
        <color theme="0" tint="-0.499984740745262"/>
      </right>
      <top/>
      <bottom/>
      <diagonal/>
    </border>
    <border>
      <left style="thin">
        <color theme="0" tint="-0.499984740745262"/>
      </left>
      <right style="thin">
        <color theme="0" tint="-0.499984740745262"/>
      </right>
      <top/>
      <bottom style="thin">
        <color theme="0" tint="-0.499984740745262"/>
      </bottom>
      <diagonal/>
    </border>
    <border>
      <left style="thin">
        <color theme="0" tint="-0.499984740745262"/>
      </left>
      <right style="thin">
        <color theme="0" tint="-0.499984740745262"/>
      </right>
      <top style="thin">
        <color theme="0" tint="-0.499984740745262"/>
      </top>
      <bottom/>
      <diagonal/>
    </border>
    <border>
      <left style="thin">
        <color theme="0" tint="-0.499984740745262"/>
      </left>
      <right/>
      <top style="thin">
        <color theme="0" tint="-0.499984740745262"/>
      </top>
      <bottom style="thin">
        <color theme="0" tint="-0.499984740745262"/>
      </bottom>
      <diagonal/>
    </border>
    <border>
      <left style="thin">
        <color indexed="64"/>
      </left>
      <right style="thin">
        <color indexed="64"/>
      </right>
      <top style="thin">
        <color indexed="64"/>
      </top>
      <bottom style="medium">
        <color indexed="64"/>
      </bottom>
      <diagonal/>
    </border>
    <border>
      <left style="thin">
        <color theme="1"/>
      </left>
      <right style="thin">
        <color theme="1"/>
      </right>
      <top style="thin">
        <color theme="1"/>
      </top>
      <bottom style="thin">
        <color theme="1"/>
      </bottom>
      <diagonal/>
    </border>
    <border>
      <left/>
      <right/>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right/>
      <top style="thin">
        <color theme="1"/>
      </top>
      <bottom style="thin">
        <color theme="1"/>
      </bottom>
      <diagonal/>
    </border>
    <border>
      <left style="thin">
        <color theme="1"/>
      </left>
      <right/>
      <top style="thin">
        <color indexed="64"/>
      </top>
      <bottom style="thin">
        <color indexed="64"/>
      </bottom>
      <diagonal/>
    </border>
    <border>
      <left/>
      <right style="thin">
        <color theme="1"/>
      </right>
      <top style="thin">
        <color indexed="64"/>
      </top>
      <bottom style="thin">
        <color indexed="64"/>
      </bottom>
      <diagonal/>
    </border>
    <border>
      <left/>
      <right style="thin">
        <color rgb="FF808080"/>
      </right>
      <top style="thin">
        <color rgb="FF808080"/>
      </top>
      <bottom style="thin">
        <color rgb="FF808080"/>
      </bottom>
      <diagonal/>
    </border>
    <border>
      <left style="medium">
        <color rgb="FF000000"/>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right style="medium">
        <color rgb="FF000000"/>
      </right>
      <top/>
      <bottom/>
      <diagonal/>
    </border>
    <border>
      <left style="medium">
        <color rgb="FF000000"/>
      </left>
      <right/>
      <top/>
      <bottom style="medium">
        <color rgb="FF000000"/>
      </bottom>
      <diagonal/>
    </border>
    <border>
      <left/>
      <right style="medium">
        <color rgb="FF000000"/>
      </right>
      <top/>
      <bottom style="medium">
        <color rgb="FF000000"/>
      </bottom>
      <diagonal/>
    </border>
    <border>
      <left style="medium">
        <color theme="1" tint="0.34998626667073579"/>
      </left>
      <right style="medium">
        <color theme="1" tint="0.34998626667073579"/>
      </right>
      <top style="medium">
        <color theme="1" tint="0.34998626667073579"/>
      </top>
      <bottom style="medium">
        <color theme="1" tint="0.34998626667073579"/>
      </bottom>
      <diagonal/>
    </border>
    <border>
      <left style="thin">
        <color indexed="64"/>
      </left>
      <right style="medium">
        <color indexed="64"/>
      </right>
      <top style="thin">
        <color indexed="64"/>
      </top>
      <bottom/>
      <diagonal/>
    </border>
    <border>
      <left style="medium">
        <color theme="1" tint="0.34998626667073579"/>
      </left>
      <right style="thin">
        <color indexed="64"/>
      </right>
      <top style="medium">
        <color theme="1" tint="0.34998626667073579"/>
      </top>
      <bottom/>
      <diagonal/>
    </border>
    <border>
      <left style="thin">
        <color indexed="64"/>
      </left>
      <right style="thin">
        <color indexed="64"/>
      </right>
      <top style="medium">
        <color theme="1" tint="0.34998626667073579"/>
      </top>
      <bottom style="thin">
        <color indexed="64"/>
      </bottom>
      <diagonal/>
    </border>
    <border>
      <left style="thin">
        <color indexed="64"/>
      </left>
      <right style="medium">
        <color theme="1" tint="0.34998626667073579"/>
      </right>
      <top style="medium">
        <color theme="1" tint="0.34998626667073579"/>
      </top>
      <bottom style="thin">
        <color indexed="64"/>
      </bottom>
      <diagonal/>
    </border>
    <border>
      <left style="medium">
        <color theme="1" tint="0.34998626667073579"/>
      </left>
      <right style="thin">
        <color indexed="64"/>
      </right>
      <top/>
      <bottom style="medium">
        <color theme="1" tint="0.34998626667073579"/>
      </bottom>
      <diagonal/>
    </border>
    <border>
      <left style="thin">
        <color indexed="64"/>
      </left>
      <right style="thin">
        <color indexed="64"/>
      </right>
      <top style="thin">
        <color indexed="64"/>
      </top>
      <bottom style="medium">
        <color theme="1" tint="0.34998626667073579"/>
      </bottom>
      <diagonal/>
    </border>
    <border>
      <left style="thin">
        <color indexed="64"/>
      </left>
      <right style="medium">
        <color theme="1" tint="0.34998626667073579"/>
      </right>
      <top style="thin">
        <color indexed="64"/>
      </top>
      <bottom style="medium">
        <color theme="1" tint="0.34998626667073579"/>
      </bottom>
      <diagonal/>
    </border>
    <border>
      <left style="thin">
        <color theme="1" tint="0.34998626667073579"/>
      </left>
      <right style="thin">
        <color theme="1" tint="0.34998626667073579"/>
      </right>
      <top style="thin">
        <color theme="1" tint="0.34998626667073579"/>
      </top>
      <bottom style="thin">
        <color theme="1" tint="0.34998626667073579"/>
      </bottom>
      <diagonal/>
    </border>
    <border>
      <left style="thin">
        <color theme="1" tint="0.34998626667073579"/>
      </left>
      <right/>
      <top style="thin">
        <color theme="1" tint="0.34998626667073579"/>
      </top>
      <bottom style="thin">
        <color theme="1" tint="0.34998626667073579"/>
      </bottom>
      <diagonal/>
    </border>
    <border>
      <left/>
      <right style="thin">
        <color theme="1" tint="0.34998626667073579"/>
      </right>
      <top style="thin">
        <color theme="1" tint="0.34998626667073579"/>
      </top>
      <bottom style="thin">
        <color theme="1" tint="0.34998626667073579"/>
      </bottom>
      <diagonal/>
    </border>
    <border>
      <left style="thin">
        <color theme="1" tint="0.499984740745262"/>
      </left>
      <right style="thin">
        <color theme="1" tint="0.499984740745262"/>
      </right>
      <top style="medium">
        <color indexed="64"/>
      </top>
      <bottom style="thin">
        <color theme="1" tint="0.499984740745262"/>
      </bottom>
      <diagonal/>
    </border>
    <border>
      <left style="thin">
        <color theme="1" tint="0.499984740745262"/>
      </left>
      <right style="medium">
        <color indexed="64"/>
      </right>
      <top style="medium">
        <color indexed="64"/>
      </top>
      <bottom style="thin">
        <color theme="1" tint="0.499984740745262"/>
      </bottom>
      <diagonal/>
    </border>
    <border>
      <left/>
      <right style="thin">
        <color theme="1" tint="0.499984740745262"/>
      </right>
      <top style="medium">
        <color indexed="64"/>
      </top>
      <bottom style="thin">
        <color theme="1" tint="0.499984740745262"/>
      </bottom>
      <diagonal/>
    </border>
    <border>
      <left style="thin">
        <color theme="1" tint="0.499984740745262"/>
      </left>
      <right style="thin">
        <color theme="1" tint="0.499984740745262"/>
      </right>
      <top style="thin">
        <color theme="1" tint="0.499984740745262"/>
      </top>
      <bottom style="thin">
        <color theme="1" tint="0.499984740745262"/>
      </bottom>
      <diagonal/>
    </border>
    <border>
      <left style="thin">
        <color theme="1" tint="0.499984740745262"/>
      </left>
      <right style="medium">
        <color indexed="64"/>
      </right>
      <top style="thin">
        <color theme="1" tint="0.499984740745262"/>
      </top>
      <bottom style="thin">
        <color theme="1" tint="0.499984740745262"/>
      </bottom>
      <diagonal/>
    </border>
    <border>
      <left/>
      <right style="thin">
        <color theme="1" tint="0.499984740745262"/>
      </right>
      <top style="thin">
        <color theme="1" tint="0.499984740745262"/>
      </top>
      <bottom style="thin">
        <color theme="1" tint="0.499984740745262"/>
      </bottom>
      <diagonal/>
    </border>
    <border>
      <left style="thin">
        <color theme="1" tint="0.499984740745262"/>
      </left>
      <right style="thin">
        <color theme="1" tint="0.499984740745262"/>
      </right>
      <top style="thin">
        <color theme="1" tint="0.499984740745262"/>
      </top>
      <bottom/>
      <diagonal/>
    </border>
    <border>
      <left style="thin">
        <color theme="1" tint="0.499984740745262"/>
      </left>
      <right style="medium">
        <color indexed="64"/>
      </right>
      <top style="thin">
        <color theme="1" tint="0.499984740745262"/>
      </top>
      <bottom/>
      <diagonal/>
    </border>
    <border>
      <left/>
      <right style="thin">
        <color theme="1" tint="0.499984740745262"/>
      </right>
      <top style="thin">
        <color theme="1" tint="0.499984740745262"/>
      </top>
      <bottom/>
      <diagonal/>
    </border>
    <border>
      <left style="thin">
        <color theme="1" tint="0.499984740745262"/>
      </left>
      <right style="thin">
        <color theme="1" tint="0.499984740745262"/>
      </right>
      <top style="thin">
        <color theme="1" tint="0.499984740745262"/>
      </top>
      <bottom style="medium">
        <color indexed="64"/>
      </bottom>
      <diagonal/>
    </border>
    <border>
      <left style="thin">
        <color theme="1" tint="0.499984740745262"/>
      </left>
      <right style="medium">
        <color indexed="64"/>
      </right>
      <top style="thin">
        <color theme="1" tint="0.499984740745262"/>
      </top>
      <bottom style="medium">
        <color indexed="64"/>
      </bottom>
      <diagonal/>
    </border>
    <border>
      <left/>
      <right style="thin">
        <color theme="1" tint="0.499984740745262"/>
      </right>
      <top style="thin">
        <color theme="1" tint="0.499984740745262"/>
      </top>
      <bottom style="medium">
        <color indexed="64"/>
      </bottom>
      <diagonal/>
    </border>
    <border>
      <left style="thin">
        <color theme="1" tint="0.499984740745262"/>
      </left>
      <right style="thin">
        <color theme="1" tint="0.499984740745262"/>
      </right>
      <top/>
      <bottom style="thin">
        <color theme="1" tint="0.499984740745262"/>
      </bottom>
      <diagonal/>
    </border>
    <border>
      <left style="thin">
        <color theme="1" tint="0.499984740745262"/>
      </left>
      <right style="medium">
        <color indexed="64"/>
      </right>
      <top/>
      <bottom style="thin">
        <color theme="1" tint="0.499984740745262"/>
      </bottom>
      <diagonal/>
    </border>
    <border>
      <left/>
      <right style="thin">
        <color theme="1" tint="0.499984740745262"/>
      </right>
      <top/>
      <bottom style="thin">
        <color theme="1" tint="0.499984740745262"/>
      </bottom>
      <diagonal/>
    </border>
    <border>
      <left style="medium">
        <color indexed="64"/>
      </left>
      <right/>
      <top/>
      <bottom/>
      <diagonal/>
    </border>
    <border>
      <left/>
      <right style="medium">
        <color indexed="64"/>
      </right>
      <top/>
      <bottom/>
      <diagonal/>
    </border>
    <border>
      <left/>
      <right style="thin">
        <color indexed="64"/>
      </right>
      <top style="medium">
        <color indexed="64"/>
      </top>
      <bottom style="thin">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thin">
        <color theme="1" tint="0.499984740745262"/>
      </left>
      <right style="thin">
        <color theme="1" tint="0.499984740745262"/>
      </right>
      <top style="medium">
        <color theme="1" tint="0.34998626667073579"/>
      </top>
      <bottom style="thin">
        <color theme="1" tint="0.499984740745262"/>
      </bottom>
      <diagonal/>
    </border>
    <border>
      <left/>
      <right style="thin">
        <color theme="1" tint="0.499984740745262"/>
      </right>
      <top style="medium">
        <color theme="1" tint="0.34998626667073579"/>
      </top>
      <bottom style="thin">
        <color theme="1" tint="0.499984740745262"/>
      </bottom>
      <diagonal/>
    </border>
    <border>
      <left style="thin">
        <color theme="1" tint="0.499984740745262"/>
      </left>
      <right style="medium">
        <color theme="1" tint="0.34998626667073579"/>
      </right>
      <top style="medium">
        <color theme="1" tint="0.34998626667073579"/>
      </top>
      <bottom style="thin">
        <color theme="1" tint="0.499984740745262"/>
      </bottom>
      <diagonal/>
    </border>
    <border>
      <left style="thin">
        <color theme="1" tint="0.499984740745262"/>
      </left>
      <right style="medium">
        <color theme="1" tint="0.34998626667073579"/>
      </right>
      <top style="thin">
        <color theme="1" tint="0.499984740745262"/>
      </top>
      <bottom style="thin">
        <color theme="1" tint="0.499984740745262"/>
      </bottom>
      <diagonal/>
    </border>
    <border>
      <left style="thin">
        <color theme="1" tint="0.499984740745262"/>
      </left>
      <right style="thin">
        <color theme="1" tint="0.499984740745262"/>
      </right>
      <top style="thin">
        <color theme="1" tint="0.499984740745262"/>
      </top>
      <bottom style="medium">
        <color theme="1" tint="0.34998626667073579"/>
      </bottom>
      <diagonal/>
    </border>
    <border>
      <left/>
      <right style="thin">
        <color theme="1" tint="0.499984740745262"/>
      </right>
      <top style="thin">
        <color theme="1" tint="0.499984740745262"/>
      </top>
      <bottom style="medium">
        <color theme="1" tint="0.34998626667073579"/>
      </bottom>
      <diagonal/>
    </border>
    <border>
      <left style="thin">
        <color theme="1" tint="0.499984740745262"/>
      </left>
      <right style="medium">
        <color theme="1" tint="0.34998626667073579"/>
      </right>
      <top style="thin">
        <color theme="1" tint="0.499984740745262"/>
      </top>
      <bottom style="medium">
        <color theme="1" tint="0.34998626667073579"/>
      </bottom>
      <diagonal/>
    </border>
    <border>
      <left style="medium">
        <color theme="1" tint="0.34998626667073579"/>
      </left>
      <right style="thin">
        <color indexed="64"/>
      </right>
      <top/>
      <bottom/>
      <diagonal/>
    </border>
    <border>
      <left style="thin">
        <color indexed="64"/>
      </left>
      <right style="medium">
        <color theme="1" tint="0.34998626667073579"/>
      </right>
      <top style="thin">
        <color indexed="64"/>
      </top>
      <bottom style="thin">
        <color indexed="64"/>
      </bottom>
      <diagonal/>
    </border>
    <border>
      <left style="medium">
        <color theme="1" tint="0.34998626667073579"/>
      </left>
      <right style="thin">
        <color indexed="64"/>
      </right>
      <top style="medium">
        <color theme="1" tint="0.34998626667073579"/>
      </top>
      <bottom style="medium">
        <color theme="1" tint="0.34998626667073579"/>
      </bottom>
      <diagonal/>
    </border>
    <border>
      <left style="thin">
        <color indexed="64"/>
      </left>
      <right/>
      <top style="medium">
        <color theme="1" tint="0.34998626667073579"/>
      </top>
      <bottom style="medium">
        <color theme="1" tint="0.34998626667073579"/>
      </bottom>
      <diagonal/>
    </border>
    <border>
      <left style="thin">
        <color theme="1" tint="0.34998626667073579"/>
      </left>
      <right style="thin">
        <color theme="1" tint="0.34998626667073579"/>
      </right>
      <top style="medium">
        <color theme="1" tint="0.34998626667073579"/>
      </top>
      <bottom style="medium">
        <color theme="1" tint="0.34998626667073579"/>
      </bottom>
      <diagonal/>
    </border>
    <border>
      <left style="thin">
        <color theme="1" tint="0.34998626667073579"/>
      </left>
      <right style="medium">
        <color theme="1" tint="0.34998626667073579"/>
      </right>
      <top style="medium">
        <color theme="1" tint="0.34998626667073579"/>
      </top>
      <bottom style="medium">
        <color theme="1" tint="0.34998626667073579"/>
      </bottom>
      <diagonal/>
    </border>
    <border>
      <left style="medium">
        <color theme="1" tint="0.34998626667073579"/>
      </left>
      <right style="medium">
        <color theme="1" tint="0.34998626667073579"/>
      </right>
      <top style="medium">
        <color theme="1" tint="0.34998626667073579"/>
      </top>
      <bottom/>
      <diagonal/>
    </border>
    <border>
      <left style="medium">
        <color theme="1" tint="0.34998626667073579"/>
      </left>
      <right style="medium">
        <color theme="1" tint="0.34998626667073579"/>
      </right>
      <top/>
      <bottom/>
      <diagonal/>
    </border>
    <border>
      <left style="medium">
        <color theme="1" tint="0.34998626667073579"/>
      </left>
      <right style="medium">
        <color theme="1" tint="0.34998626667073579"/>
      </right>
      <top/>
      <bottom style="medium">
        <color theme="1" tint="0.34998626667073579"/>
      </bottom>
      <diagonal/>
    </border>
    <border>
      <left style="thin">
        <color rgb="FF808080"/>
      </left>
      <right style="thin">
        <color rgb="FF808080"/>
      </right>
      <top/>
      <bottom style="thin">
        <color rgb="FF808080"/>
      </bottom>
      <diagonal/>
    </border>
    <border>
      <left style="thin">
        <color theme="1" tint="4.9989318521683403E-2"/>
      </left>
      <right style="thin">
        <color theme="1" tint="4.9989318521683403E-2"/>
      </right>
      <top style="thin">
        <color theme="1" tint="4.9989318521683403E-2"/>
      </top>
      <bottom style="thin">
        <color theme="1" tint="4.9989318521683403E-2"/>
      </bottom>
      <diagonal/>
    </border>
    <border>
      <left style="thin">
        <color rgb="FF808080"/>
      </left>
      <right style="thin">
        <color rgb="FF808080"/>
      </right>
      <top/>
      <bottom/>
      <diagonal/>
    </border>
    <border>
      <left style="thin">
        <color theme="1"/>
      </left>
      <right style="thin">
        <color theme="1"/>
      </right>
      <top style="thin">
        <color theme="1"/>
      </top>
      <bottom/>
      <diagonal/>
    </border>
    <border>
      <left style="thin">
        <color theme="1"/>
      </left>
      <right/>
      <top/>
      <bottom style="thin">
        <color theme="1"/>
      </bottom>
      <diagonal/>
    </border>
    <border>
      <left style="thin">
        <color theme="1"/>
      </left>
      <right style="thin">
        <color theme="1"/>
      </right>
      <top/>
      <bottom style="thin">
        <color theme="1"/>
      </bottom>
      <diagonal/>
    </border>
    <border>
      <left style="thin">
        <color indexed="64"/>
      </left>
      <right style="thin">
        <color indexed="64"/>
      </right>
      <top style="thin">
        <color theme="1"/>
      </top>
      <bottom/>
      <diagonal/>
    </border>
    <border>
      <left style="thin">
        <color theme="1" tint="4.9989318521683403E-2"/>
      </left>
      <right style="thin">
        <color theme="1" tint="4.9989318521683403E-2"/>
      </right>
      <top/>
      <bottom style="thin">
        <color theme="1" tint="4.9989318521683403E-2"/>
      </bottom>
      <diagonal/>
    </border>
    <border>
      <left style="thin">
        <color indexed="64"/>
      </left>
      <right style="thin">
        <color theme="1" tint="4.9989318521683403E-2"/>
      </right>
      <top style="thin">
        <color theme="1"/>
      </top>
      <bottom/>
      <diagonal/>
    </border>
    <border>
      <left style="thin">
        <color indexed="64"/>
      </left>
      <right style="thin">
        <color theme="1" tint="4.9989318521683403E-2"/>
      </right>
      <top/>
      <bottom style="thin">
        <color indexed="64"/>
      </bottom>
      <diagonal/>
    </border>
    <border>
      <left style="thin">
        <color theme="1" tint="4.9989318521683403E-2"/>
      </left>
      <right style="thin">
        <color theme="1" tint="4.9989318521683403E-2"/>
      </right>
      <top style="thin">
        <color theme="1" tint="4.9989318521683403E-2"/>
      </top>
      <bottom/>
      <diagonal/>
    </border>
    <border>
      <left style="thin">
        <color rgb="FF808080"/>
      </left>
      <right style="thin">
        <color rgb="FF808080"/>
      </right>
      <top style="thin">
        <color theme="0" tint="-0.499984740745262"/>
      </top>
      <bottom/>
      <diagonal/>
    </border>
    <border>
      <left style="thin">
        <color rgb="FF808080"/>
      </left>
      <right style="thin">
        <color theme="0" tint="-0.499984740745262"/>
      </right>
      <top style="thin">
        <color indexed="64"/>
      </top>
      <bottom/>
      <diagonal/>
    </border>
    <border>
      <left style="thin">
        <color rgb="FF808080"/>
      </left>
      <right style="thin">
        <color theme="0" tint="-0.499984740745262"/>
      </right>
      <top/>
      <bottom/>
      <diagonal/>
    </border>
    <border>
      <left style="thin">
        <color rgb="FF808080"/>
      </left>
      <right style="thin">
        <color theme="0" tint="-0.499984740745262"/>
      </right>
      <top/>
      <bottom style="thin">
        <color theme="0" tint="-0.499984740745262"/>
      </bottom>
      <diagonal/>
    </border>
    <border>
      <left style="thin">
        <color theme="0" tint="-0.499984740745262"/>
      </left>
      <right style="thin">
        <color rgb="FF808080"/>
      </right>
      <top style="thin">
        <color theme="0" tint="-0.499984740745262"/>
      </top>
      <bottom/>
      <diagonal/>
    </border>
    <border>
      <left style="thin">
        <color theme="0" tint="-0.499984740745262"/>
      </left>
      <right style="thin">
        <color rgb="FF808080"/>
      </right>
      <top/>
      <bottom/>
      <diagonal/>
    </border>
    <border>
      <left style="thin">
        <color theme="0" tint="-0.499984740745262"/>
      </left>
      <right style="thin">
        <color rgb="FF808080"/>
      </right>
      <top/>
      <bottom style="thin">
        <color rgb="FF808080"/>
      </bottom>
      <diagonal/>
    </border>
    <border>
      <left style="thin">
        <color theme="1" tint="0.34998626667073579"/>
      </left>
      <right style="thin">
        <color theme="1" tint="0.34998626667073579"/>
      </right>
      <top style="thin">
        <color theme="1" tint="0.34998626667073579"/>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rgb="FF0D0D0D"/>
      </right>
      <top style="thin">
        <color rgb="FF0D0D0D"/>
      </top>
      <bottom/>
      <diagonal/>
    </border>
    <border>
      <left/>
      <right style="thin">
        <color rgb="FF0D0D0D"/>
      </right>
      <top/>
      <bottom/>
      <diagonal/>
    </border>
    <border>
      <left style="thin">
        <color rgb="FF0D0D0D"/>
      </left>
      <right style="thin">
        <color rgb="FF0D0D0D"/>
      </right>
      <top style="thin">
        <color rgb="FF0D0D0D"/>
      </top>
      <bottom/>
      <diagonal/>
    </border>
    <border>
      <left style="thin">
        <color rgb="FF0D0D0D"/>
      </left>
      <right style="thin">
        <color rgb="FF0D0D0D"/>
      </right>
      <top/>
      <bottom/>
      <diagonal/>
    </border>
    <border>
      <left style="thin">
        <color rgb="FF0D0D0D"/>
      </left>
      <right/>
      <top/>
      <bottom/>
      <diagonal/>
    </border>
    <border>
      <left/>
      <right style="thin">
        <color theme="1" tint="4.9989318521683403E-2"/>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thin">
        <color theme="1" tint="4.9989318521683403E-2"/>
      </right>
      <top style="thin">
        <color theme="1" tint="4.9989318521683403E-2"/>
      </top>
      <bottom style="thin">
        <color theme="1" tint="4.9989318521683403E-2"/>
      </bottom>
      <diagonal/>
    </border>
    <border>
      <left style="thin">
        <color theme="1" tint="4.9989318521683403E-2"/>
      </left>
      <right style="thin">
        <color theme="1" tint="4.9989318521683403E-2"/>
      </right>
      <top/>
      <bottom/>
      <diagonal/>
    </border>
    <border>
      <left/>
      <right style="thin">
        <color theme="1" tint="4.9989318521683403E-2"/>
      </right>
      <top style="thin">
        <color theme="1" tint="4.9989318521683403E-2"/>
      </top>
      <bottom/>
      <diagonal/>
    </border>
    <border>
      <left/>
      <right/>
      <top/>
      <bottom style="thin">
        <color theme="1" tint="4.9989318521683403E-2"/>
      </bottom>
      <diagonal/>
    </border>
    <border>
      <left style="thin">
        <color theme="1" tint="4.9989318521683403E-2"/>
      </left>
      <right/>
      <top style="thin">
        <color theme="1" tint="4.9989318521683403E-2"/>
      </top>
      <bottom style="thin">
        <color theme="1" tint="4.9989318521683403E-2"/>
      </bottom>
      <diagonal/>
    </border>
    <border>
      <left/>
      <right/>
      <top style="thin">
        <color theme="1" tint="4.9989318521683403E-2"/>
      </top>
      <bottom style="thin">
        <color theme="1" tint="4.9989318521683403E-2"/>
      </bottom>
      <diagonal/>
    </border>
    <border>
      <left/>
      <right style="thin">
        <color theme="1" tint="4.9989318521683403E-2"/>
      </right>
      <top style="thin">
        <color theme="1" tint="4.9989318521683403E-2"/>
      </top>
      <bottom style="thin">
        <color theme="1" tint="0.34998626667073579"/>
      </bottom>
      <diagonal/>
    </border>
    <border>
      <left style="thin">
        <color theme="1" tint="0.34998626667073579"/>
      </left>
      <right/>
      <top/>
      <bottom/>
      <diagonal/>
    </border>
    <border>
      <left style="thin">
        <color theme="1" tint="0.34998626667073579"/>
      </left>
      <right/>
      <top style="thin">
        <color theme="1" tint="0.34998626667073579"/>
      </top>
      <bottom/>
      <diagonal/>
    </border>
    <border>
      <left/>
      <right/>
      <top style="thin">
        <color theme="1" tint="0.34998626667073579"/>
      </top>
      <bottom/>
      <diagonal/>
    </border>
    <border>
      <left/>
      <right style="thin">
        <color theme="1" tint="0.34998626667073579"/>
      </right>
      <top style="thin">
        <color theme="1" tint="0.34998626667073579"/>
      </top>
      <bottom/>
      <diagonal/>
    </border>
    <border>
      <left/>
      <right style="thin">
        <color theme="1" tint="0.34998626667073579"/>
      </right>
      <top/>
      <bottom/>
      <diagonal/>
    </border>
    <border>
      <left style="thin">
        <color theme="1" tint="0.34998626667073579"/>
      </left>
      <right style="thin">
        <color theme="1" tint="4.9989318521683403E-2"/>
      </right>
      <top style="thin">
        <color theme="1" tint="0.34998626667073579"/>
      </top>
      <bottom/>
      <diagonal/>
    </border>
    <border>
      <left style="thin">
        <color theme="1" tint="4.9989318521683403E-2"/>
      </left>
      <right style="thin">
        <color theme="1" tint="4.9989318521683403E-2"/>
      </right>
      <top style="thin">
        <color theme="1" tint="0.34998626667073579"/>
      </top>
      <bottom/>
      <diagonal/>
    </border>
    <border>
      <left/>
      <right style="thin">
        <color theme="1" tint="4.9989318521683403E-2"/>
      </right>
      <top style="thin">
        <color theme="1" tint="0.34998626667073579"/>
      </top>
      <bottom style="thin">
        <color theme="1" tint="4.9989318521683403E-2"/>
      </bottom>
      <diagonal/>
    </border>
    <border>
      <left style="thin">
        <color theme="1" tint="4.9989318521683403E-2"/>
      </left>
      <right style="thin">
        <color theme="1" tint="4.9989318521683403E-2"/>
      </right>
      <top style="thin">
        <color theme="1" tint="0.34998626667073579"/>
      </top>
      <bottom style="thin">
        <color theme="1" tint="4.9989318521683403E-2"/>
      </bottom>
      <diagonal/>
    </border>
    <border>
      <left style="thin">
        <color theme="1" tint="4.9989318521683403E-2"/>
      </left>
      <right style="thin">
        <color theme="1" tint="0.34998626667073579"/>
      </right>
      <top style="thin">
        <color theme="1" tint="0.34998626667073579"/>
      </top>
      <bottom/>
      <diagonal/>
    </border>
    <border>
      <left style="thin">
        <color theme="1" tint="0.34998626667073579"/>
      </left>
      <right style="thin">
        <color theme="1" tint="4.9989318521683403E-2"/>
      </right>
      <top/>
      <bottom/>
      <diagonal/>
    </border>
    <border>
      <left style="thin">
        <color theme="1" tint="4.9989318521683403E-2"/>
      </left>
      <right style="thin">
        <color theme="1" tint="0.34998626667073579"/>
      </right>
      <top/>
      <bottom/>
      <diagonal/>
    </border>
    <border>
      <left style="thin">
        <color theme="1" tint="0.34998626667073579"/>
      </left>
      <right style="thin">
        <color theme="1" tint="4.9989318521683403E-2"/>
      </right>
      <top/>
      <bottom style="thin">
        <color theme="1" tint="0.34998626667073579"/>
      </bottom>
      <diagonal/>
    </border>
    <border>
      <left style="thin">
        <color theme="1" tint="4.9989318521683403E-2"/>
      </left>
      <right style="thin">
        <color theme="1" tint="4.9989318521683403E-2"/>
      </right>
      <top/>
      <bottom style="thin">
        <color theme="1" tint="0.34998626667073579"/>
      </bottom>
      <diagonal/>
    </border>
    <border>
      <left style="thin">
        <color theme="1" tint="4.9989318521683403E-2"/>
      </left>
      <right style="thin">
        <color theme="1" tint="4.9989318521683403E-2"/>
      </right>
      <top style="thin">
        <color theme="1" tint="4.9989318521683403E-2"/>
      </top>
      <bottom style="thin">
        <color theme="1" tint="0.34998626667073579"/>
      </bottom>
      <diagonal/>
    </border>
    <border>
      <left style="thin">
        <color theme="1" tint="4.9989318521683403E-2"/>
      </left>
      <right style="thin">
        <color theme="1" tint="0.34998626667073579"/>
      </right>
      <top/>
      <bottom style="thin">
        <color theme="1" tint="0.34998626667073579"/>
      </bottom>
      <diagonal/>
    </border>
    <border>
      <left style="thin">
        <color rgb="FF595959"/>
      </left>
      <right style="thin">
        <color rgb="FF595959"/>
      </right>
      <top style="thin">
        <color rgb="FF595959"/>
      </top>
      <bottom style="thin">
        <color rgb="FF595959"/>
      </bottom>
      <diagonal/>
    </border>
    <border>
      <left style="thin">
        <color indexed="64"/>
      </left>
      <right style="thin">
        <color theme="1" tint="0.34998626667073579"/>
      </right>
      <top style="thin">
        <color theme="1" tint="0.34998626667073579"/>
      </top>
      <bottom/>
      <diagonal/>
    </border>
    <border>
      <left style="thin">
        <color indexed="64"/>
      </left>
      <right style="thin">
        <color theme="1" tint="0.34998626667073579"/>
      </right>
      <top/>
      <bottom style="thin">
        <color theme="1" tint="0.34998626667073579"/>
      </bottom>
      <diagonal/>
    </border>
    <border>
      <left style="thin">
        <color theme="1" tint="0.34998626667073579"/>
      </left>
      <right style="thin">
        <color theme="1" tint="0.34998626667073579"/>
      </right>
      <top style="medium">
        <color indexed="64"/>
      </top>
      <bottom style="thin">
        <color theme="1" tint="0.34998626667073579"/>
      </bottom>
      <diagonal/>
    </border>
    <border>
      <left style="thin">
        <color theme="1" tint="0.34998626667073579"/>
      </left>
      <right style="medium">
        <color indexed="64"/>
      </right>
      <top style="medium">
        <color indexed="64"/>
      </top>
      <bottom/>
      <diagonal/>
    </border>
    <border>
      <left style="thin">
        <color theme="1" tint="0.34998626667073579"/>
      </left>
      <right style="thin">
        <color theme="1" tint="0.34998626667073579"/>
      </right>
      <top/>
      <bottom/>
      <diagonal/>
    </border>
    <border>
      <left style="thin">
        <color theme="1" tint="0.34998626667073579"/>
      </left>
      <right style="medium">
        <color indexed="64"/>
      </right>
      <top/>
      <bottom/>
      <diagonal/>
    </border>
    <border>
      <left style="thin">
        <color theme="1" tint="0.34998626667073579"/>
      </left>
      <right style="thin">
        <color theme="1" tint="0.34998626667073579"/>
      </right>
      <top/>
      <bottom style="medium">
        <color theme="1" tint="0.34998626667073579"/>
      </bottom>
      <diagonal/>
    </border>
    <border>
      <left style="thin">
        <color theme="1" tint="0.34998626667073579"/>
      </left>
      <right style="medium">
        <color indexed="64"/>
      </right>
      <top/>
      <bottom style="medium">
        <color indexed="64"/>
      </bottom>
      <diagonal/>
    </border>
    <border>
      <left style="thin">
        <color theme="1" tint="0.34998626667073579"/>
      </left>
      <right style="thin">
        <color theme="1" tint="0.34998626667073579"/>
      </right>
      <top style="medium">
        <color theme="1" tint="0.34998626667073579"/>
      </top>
      <bottom style="thin">
        <color theme="1" tint="0.34998626667073579"/>
      </bottom>
      <diagonal/>
    </border>
    <border>
      <left/>
      <right style="thin">
        <color theme="1" tint="0.34998626667073579"/>
      </right>
      <top style="medium">
        <color theme="1" tint="0.34998626667073579"/>
      </top>
      <bottom style="thin">
        <color theme="1" tint="0.34998626667073579"/>
      </bottom>
      <diagonal/>
    </border>
    <border>
      <left style="thin">
        <color indexed="64"/>
      </left>
      <right style="thin">
        <color indexed="64"/>
      </right>
      <top style="medium">
        <color indexed="64"/>
      </top>
      <bottom/>
      <diagonal/>
    </border>
    <border>
      <left style="thin">
        <color theme="1" tint="0.34998626667073579"/>
      </left>
      <right style="medium">
        <color indexed="64"/>
      </right>
      <top/>
      <bottom style="medium">
        <color theme="1" tint="0.34998626667073579"/>
      </bottom>
      <diagonal/>
    </border>
    <border>
      <left style="thin">
        <color theme="1" tint="0.34998626667073579"/>
      </left>
      <right style="thin">
        <color theme="1" tint="0.34998626667073579"/>
      </right>
      <top style="thin">
        <color theme="1" tint="0.34998626667073579"/>
      </top>
      <bottom style="medium">
        <color theme="1" tint="0.34998626667073579"/>
      </bottom>
      <diagonal/>
    </border>
    <border>
      <left/>
      <right style="thin">
        <color theme="1" tint="0.34998626667073579"/>
      </right>
      <top style="thin">
        <color theme="1" tint="0.34998626667073579"/>
      </top>
      <bottom style="medium">
        <color theme="1" tint="0.34998626667073579"/>
      </bottom>
      <diagonal/>
    </border>
    <border>
      <left style="thin">
        <color theme="1" tint="0.34998626667073579"/>
      </left>
      <right style="thin">
        <color theme="1" tint="0.34998626667073579"/>
      </right>
      <top/>
      <bottom style="thin">
        <color theme="1" tint="0.34998626667073579"/>
      </bottom>
      <diagonal/>
    </border>
    <border>
      <left/>
      <right style="thin">
        <color theme="1" tint="0.34998626667073579"/>
      </right>
      <top/>
      <bottom style="thin">
        <color theme="1" tint="0.34998626667073579"/>
      </bottom>
      <diagonal/>
    </border>
    <border>
      <left style="thin">
        <color theme="1" tint="0.34998626667073579"/>
      </left>
      <right style="medium">
        <color indexed="64"/>
      </right>
      <top style="medium">
        <color indexed="64"/>
      </top>
      <bottom style="thin">
        <color theme="1" tint="0.34998626667073579"/>
      </bottom>
      <diagonal/>
    </border>
    <border>
      <left style="thin">
        <color theme="1" tint="0.34998626667073579"/>
      </left>
      <right style="medium">
        <color theme="1" tint="0.34998626667073579"/>
      </right>
      <top/>
      <bottom style="thin">
        <color theme="1" tint="0.34998626667073579"/>
      </bottom>
      <diagonal/>
    </border>
    <border>
      <left style="thin">
        <color theme="1" tint="0.34998626667073579"/>
      </left>
      <right style="medium">
        <color indexed="64"/>
      </right>
      <top style="thin">
        <color theme="1" tint="0.34998626667073579"/>
      </top>
      <bottom style="thin">
        <color theme="1" tint="0.34998626667073579"/>
      </bottom>
      <diagonal/>
    </border>
    <border>
      <left style="thin">
        <color theme="1" tint="0.34998626667073579"/>
      </left>
      <right style="medium">
        <color theme="1" tint="0.34998626667073579"/>
      </right>
      <top style="thin">
        <color theme="1" tint="0.34998626667073579"/>
      </top>
      <bottom style="thin">
        <color theme="1" tint="0.34998626667073579"/>
      </bottom>
      <diagonal/>
    </border>
    <border>
      <left style="thin">
        <color theme="1" tint="0.34998626667073579"/>
      </left>
      <right style="medium">
        <color theme="1" tint="0.34998626667073579"/>
      </right>
      <top style="thin">
        <color theme="1" tint="0.34998626667073579"/>
      </top>
      <bottom style="medium">
        <color theme="1" tint="0.34998626667073579"/>
      </bottom>
      <diagonal/>
    </border>
    <border>
      <left style="thin">
        <color theme="1" tint="0.34998626667073579"/>
      </left>
      <right style="thin">
        <color theme="1" tint="0.34998626667073579"/>
      </right>
      <top/>
      <bottom style="medium">
        <color indexed="64"/>
      </bottom>
      <diagonal/>
    </border>
    <border>
      <left style="medium">
        <color indexed="64"/>
      </left>
      <right style="thin">
        <color theme="1" tint="0.34998626667073579"/>
      </right>
      <top style="medium">
        <color indexed="64"/>
      </top>
      <bottom style="thin">
        <color theme="1" tint="0.34998626667073579"/>
      </bottom>
      <diagonal/>
    </border>
    <border>
      <left/>
      <right style="thin">
        <color theme="1" tint="0.34998626667073579"/>
      </right>
      <top style="medium">
        <color indexed="64"/>
      </top>
      <bottom style="thin">
        <color theme="1" tint="0.34998626667073579"/>
      </bottom>
      <diagonal/>
    </border>
    <border>
      <left style="medium">
        <color indexed="64"/>
      </left>
      <right style="thin">
        <color theme="1" tint="0.34998626667073579"/>
      </right>
      <top style="thin">
        <color theme="1" tint="0.34998626667073579"/>
      </top>
      <bottom style="thin">
        <color theme="1" tint="0.34998626667073579"/>
      </bottom>
      <diagonal/>
    </border>
    <border>
      <left style="medium">
        <color indexed="64"/>
      </left>
      <right style="thin">
        <color theme="1" tint="0.34998626667073579"/>
      </right>
      <top style="thin">
        <color theme="1" tint="0.34998626667073579"/>
      </top>
      <bottom style="medium">
        <color indexed="64"/>
      </bottom>
      <diagonal/>
    </border>
    <border>
      <left style="thin">
        <color theme="1" tint="0.34998626667073579"/>
      </left>
      <right style="thin">
        <color theme="1" tint="0.34998626667073579"/>
      </right>
      <top style="thin">
        <color theme="1" tint="0.34998626667073579"/>
      </top>
      <bottom style="medium">
        <color indexed="64"/>
      </bottom>
      <diagonal/>
    </border>
    <border>
      <left/>
      <right style="thin">
        <color theme="1" tint="0.34998626667073579"/>
      </right>
      <top style="thin">
        <color theme="1" tint="0.34998626667073579"/>
      </top>
      <bottom style="medium">
        <color indexed="64"/>
      </bottom>
      <diagonal/>
    </border>
    <border>
      <left style="thin">
        <color theme="1" tint="0.34998626667073579"/>
      </left>
      <right style="medium">
        <color indexed="64"/>
      </right>
      <top style="thin">
        <color theme="1" tint="0.34998626667073579"/>
      </top>
      <bottom style="medium">
        <color indexed="64"/>
      </bottom>
      <diagonal/>
    </border>
    <border>
      <left style="medium">
        <color theme="1" tint="0.34998626667073579"/>
      </left>
      <right style="thin">
        <color theme="1" tint="0.34998626667073579"/>
      </right>
      <top/>
      <bottom style="thin">
        <color theme="1" tint="0.34998626667073579"/>
      </bottom>
      <diagonal/>
    </border>
    <border>
      <left style="medium">
        <color theme="1" tint="0.34998626667073579"/>
      </left>
      <right style="thin">
        <color theme="1" tint="0.34998626667073579"/>
      </right>
      <top style="thin">
        <color theme="1" tint="0.34998626667073579"/>
      </top>
      <bottom style="thin">
        <color theme="1" tint="0.34998626667073579"/>
      </bottom>
      <diagonal/>
    </border>
    <border>
      <left style="medium">
        <color theme="1" tint="0.34998626667073579"/>
      </left>
      <right style="thin">
        <color theme="1" tint="0.34998626667073579"/>
      </right>
      <top style="thin">
        <color theme="1" tint="0.34998626667073579"/>
      </top>
      <bottom style="medium">
        <color theme="1" tint="0.34998626667073579"/>
      </bottom>
      <diagonal/>
    </border>
    <border>
      <left style="medium">
        <color indexed="64"/>
      </left>
      <right style="thin">
        <color theme="1" tint="0.34998626667073579"/>
      </right>
      <top style="medium">
        <color theme="1" tint="0.34998626667073579"/>
      </top>
      <bottom style="thin">
        <color theme="1" tint="0.34998626667073579"/>
      </bottom>
      <diagonal/>
    </border>
    <border>
      <left style="thin">
        <color theme="1" tint="0.34998626667073579"/>
      </left>
      <right style="medium">
        <color indexed="64"/>
      </right>
      <top style="medium">
        <color theme="1" tint="0.34998626667073579"/>
      </top>
      <bottom style="thin">
        <color theme="1" tint="0.34998626667073579"/>
      </bottom>
      <diagonal/>
    </border>
    <border>
      <left style="thin">
        <color theme="1" tint="0.34998626667073579"/>
      </left>
      <right style="medium">
        <color theme="1" tint="0.34998626667073579"/>
      </right>
      <top style="medium">
        <color theme="1" tint="0.34998626667073579"/>
      </top>
      <bottom style="thin">
        <color theme="1" tint="0.34998626667073579"/>
      </bottom>
      <diagonal/>
    </border>
    <border>
      <left style="medium">
        <color indexed="64"/>
      </left>
      <right style="thin">
        <color theme="1" tint="0.34998626667073579"/>
      </right>
      <top/>
      <bottom/>
      <diagonal/>
    </border>
    <border>
      <left style="medium">
        <color indexed="64"/>
      </left>
      <right style="thin">
        <color theme="1" tint="0.34998626667073579"/>
      </right>
      <top/>
      <bottom style="medium">
        <color indexed="64"/>
      </bottom>
      <diagonal/>
    </border>
    <border>
      <left style="thin">
        <color theme="1" tint="0.34998626667073579"/>
      </left>
      <right style="medium">
        <color indexed="64"/>
      </right>
      <top style="thin">
        <color theme="1" tint="0.34998626667073579"/>
      </top>
      <bottom style="medium">
        <color theme="1" tint="0.34998626667073579"/>
      </bottom>
      <diagonal/>
    </border>
    <border>
      <left style="thin">
        <color theme="1" tint="0.499984740745262"/>
      </left>
      <right style="thin">
        <color indexed="64"/>
      </right>
      <top style="medium">
        <color theme="1" tint="0.34998626667073579"/>
      </top>
      <bottom style="thin">
        <color theme="1" tint="0.499984740745262"/>
      </bottom>
      <diagonal/>
    </border>
    <border>
      <left style="thin">
        <color indexed="64"/>
      </left>
      <right style="medium">
        <color indexed="64"/>
      </right>
      <top style="medium">
        <color indexed="64"/>
      </top>
      <bottom/>
      <diagonal/>
    </border>
    <border>
      <left style="thin">
        <color theme="1" tint="0.499984740745262"/>
      </left>
      <right style="thin">
        <color indexed="64"/>
      </right>
      <top style="thin">
        <color theme="1" tint="0.499984740745262"/>
      </top>
      <bottom style="thin">
        <color theme="1" tint="0.499984740745262"/>
      </bottom>
      <diagonal/>
    </border>
    <border>
      <left style="thin">
        <color indexed="64"/>
      </left>
      <right style="thin">
        <color indexed="64"/>
      </right>
      <top style="thin">
        <color theme="1" tint="0.34998626667073579"/>
      </top>
      <bottom style="thin">
        <color theme="1" tint="0.34998626667073579"/>
      </bottom>
      <diagonal/>
    </border>
    <border>
      <left style="thin">
        <color indexed="64"/>
      </left>
      <right style="medium">
        <color indexed="64"/>
      </right>
      <top/>
      <bottom/>
      <diagonal/>
    </border>
    <border>
      <left style="thin">
        <color theme="1" tint="0.499984740745262"/>
      </left>
      <right style="thin">
        <color indexed="64"/>
      </right>
      <top style="thin">
        <color theme="1" tint="0.499984740745262"/>
      </top>
      <bottom style="medium">
        <color theme="1" tint="0.34998626667073579"/>
      </bottom>
      <diagonal/>
    </border>
    <border>
      <left style="thin">
        <color indexed="64"/>
      </left>
      <right style="thin">
        <color indexed="64"/>
      </right>
      <top/>
      <bottom style="medium">
        <color theme="1" tint="0.34998626667073579"/>
      </bottom>
      <diagonal/>
    </border>
    <border>
      <left style="thin">
        <color indexed="64"/>
      </left>
      <right style="thin">
        <color indexed="64"/>
      </right>
      <top style="thin">
        <color theme="1" tint="0.34998626667073579"/>
      </top>
      <bottom/>
      <diagonal/>
    </border>
    <border>
      <left style="thin">
        <color indexed="64"/>
      </left>
      <right style="medium">
        <color indexed="64"/>
      </right>
      <top/>
      <bottom style="medium">
        <color indexed="64"/>
      </bottom>
      <diagonal/>
    </border>
    <border>
      <left style="thin">
        <color indexed="64"/>
      </left>
      <right style="thin">
        <color indexed="64"/>
      </right>
      <top style="medium">
        <color theme="1" tint="0.34998626667073579"/>
      </top>
      <bottom style="thin">
        <color theme="1" tint="0.34998626667073579"/>
      </bottom>
      <diagonal/>
    </border>
    <border>
      <left style="thin">
        <color indexed="64"/>
      </left>
      <right style="medium">
        <color indexed="64"/>
      </right>
      <top/>
      <bottom style="medium">
        <color theme="1" tint="0.34998626667073579"/>
      </bottom>
      <diagonal/>
    </border>
    <border>
      <left style="thin">
        <color indexed="64"/>
      </left>
      <right style="medium">
        <color indexed="64"/>
      </right>
      <top style="medium">
        <color theme="1" tint="0.34998626667073579"/>
      </top>
      <bottom/>
      <diagonal/>
    </border>
    <border>
      <left style="thin">
        <color indexed="64"/>
      </left>
      <right style="thin">
        <color indexed="64"/>
      </right>
      <top style="thin">
        <color theme="1" tint="0.34998626667073579"/>
      </top>
      <bottom style="medium">
        <color theme="1" tint="0.34998626667073579"/>
      </bottom>
      <diagonal/>
    </border>
    <border>
      <left style="thin">
        <color indexed="64"/>
      </left>
      <right style="thin">
        <color indexed="64"/>
      </right>
      <top/>
      <bottom style="thin">
        <color theme="1" tint="0.34998626667073579"/>
      </bottom>
      <diagonal/>
    </border>
    <border>
      <left style="thin">
        <color indexed="64"/>
      </left>
      <right style="medium">
        <color indexed="64"/>
      </right>
      <top style="medium">
        <color indexed="64"/>
      </top>
      <bottom style="thin">
        <color theme="1" tint="0.34998626667073579"/>
      </bottom>
      <diagonal/>
    </border>
    <border>
      <left style="thin">
        <color indexed="64"/>
      </left>
      <right style="medium">
        <color indexed="64"/>
      </right>
      <top style="thin">
        <color theme="1" tint="0.34998626667073579"/>
      </top>
      <bottom style="thin">
        <color theme="1" tint="0.34998626667073579"/>
      </bottom>
      <diagonal/>
    </border>
    <border>
      <left style="thin">
        <color indexed="64"/>
      </left>
      <right style="medium">
        <color indexed="64"/>
      </right>
      <top style="thin">
        <color theme="1" tint="0.34998626667073579"/>
      </top>
      <bottom/>
      <diagonal/>
    </border>
    <border>
      <left style="thin">
        <color theme="1" tint="0.499984740745262"/>
      </left>
      <right style="thin">
        <color indexed="64"/>
      </right>
      <top style="thin">
        <color theme="1" tint="0.499984740745262"/>
      </top>
      <bottom/>
      <diagonal/>
    </border>
    <border>
      <left style="medium">
        <color indexed="64"/>
      </left>
      <right style="thin">
        <color indexed="64"/>
      </right>
      <top style="medium">
        <color indexed="64"/>
      </top>
      <bottom style="thin">
        <color theme="1" tint="0.499984740745262"/>
      </bottom>
      <diagonal/>
    </border>
    <border>
      <left style="medium">
        <color indexed="64"/>
      </left>
      <right style="thin">
        <color indexed="64"/>
      </right>
      <top style="thin">
        <color theme="1" tint="0.499984740745262"/>
      </top>
      <bottom style="thin">
        <color theme="1" tint="0.499984740745262"/>
      </bottom>
      <diagonal/>
    </border>
    <border>
      <left style="medium">
        <color indexed="64"/>
      </left>
      <right style="thin">
        <color indexed="64"/>
      </right>
      <top style="thin">
        <color theme="1" tint="0.499984740745262"/>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style="thin">
        <color theme="1" tint="0.34998626667073579"/>
      </top>
      <bottom style="medium">
        <color indexed="64"/>
      </bottom>
      <diagonal/>
    </border>
    <border>
      <left style="thin">
        <color indexed="64"/>
      </left>
      <right style="thin">
        <color indexed="64"/>
      </right>
      <top style="medium">
        <color indexed="64"/>
      </top>
      <bottom style="thin">
        <color theme="1" tint="0.499984740745262"/>
      </bottom>
      <diagonal/>
    </border>
    <border>
      <left style="thin">
        <color indexed="64"/>
      </left>
      <right style="medium">
        <color indexed="64"/>
      </right>
      <top style="medium">
        <color indexed="64"/>
      </top>
      <bottom style="thin">
        <color theme="1" tint="0.499984740745262"/>
      </bottom>
      <diagonal/>
    </border>
    <border>
      <left style="thin">
        <color indexed="64"/>
      </left>
      <right style="thin">
        <color indexed="64"/>
      </right>
      <top style="thin">
        <color theme="1" tint="0.499984740745262"/>
      </top>
      <bottom style="thin">
        <color theme="1" tint="0.499984740745262"/>
      </bottom>
      <diagonal/>
    </border>
    <border>
      <left style="thin">
        <color indexed="64"/>
      </left>
      <right style="medium">
        <color indexed="64"/>
      </right>
      <top style="thin">
        <color theme="1" tint="0.499984740745262"/>
      </top>
      <bottom style="thin">
        <color theme="1" tint="0.499984740745262"/>
      </bottom>
      <diagonal/>
    </border>
    <border>
      <left style="medium">
        <color indexed="64"/>
      </left>
      <right style="thin">
        <color indexed="64"/>
      </right>
      <top style="thin">
        <color theme="1" tint="0.499984740745262"/>
      </top>
      <bottom/>
      <diagonal/>
    </border>
    <border>
      <left style="thin">
        <color indexed="64"/>
      </left>
      <right style="thin">
        <color indexed="64"/>
      </right>
      <top style="thin">
        <color theme="1" tint="0.499984740745262"/>
      </top>
      <bottom/>
      <diagonal/>
    </border>
    <border>
      <left style="thin">
        <color indexed="64"/>
      </left>
      <right style="medium">
        <color indexed="64"/>
      </right>
      <top style="thin">
        <color theme="1" tint="0.499984740745262"/>
      </top>
      <bottom style="medium">
        <color indexed="64"/>
      </bottom>
      <diagonal/>
    </border>
    <border>
      <left style="thin">
        <color indexed="64"/>
      </left>
      <right style="medium">
        <color indexed="64"/>
      </right>
      <top/>
      <bottom style="thin">
        <color theme="1" tint="0.499984740745262"/>
      </bottom>
      <diagonal/>
    </border>
    <border>
      <left style="medium">
        <color indexed="64"/>
      </left>
      <right style="thin">
        <color indexed="64"/>
      </right>
      <top style="medium">
        <color theme="1" tint="0.34998626667073579"/>
      </top>
      <bottom style="thin">
        <color theme="1" tint="0.499984740745262"/>
      </bottom>
      <diagonal/>
    </border>
    <border>
      <left style="thin">
        <color indexed="64"/>
      </left>
      <right style="thin">
        <color indexed="64"/>
      </right>
      <top style="medium">
        <color theme="1" tint="0.34998626667073579"/>
      </top>
      <bottom style="thin">
        <color theme="1" tint="0.499984740745262"/>
      </bottom>
      <diagonal/>
    </border>
    <border>
      <left style="medium">
        <color indexed="64"/>
      </left>
      <right style="thin">
        <color indexed="64"/>
      </right>
      <top style="thin">
        <color theme="1" tint="0.499984740745262"/>
      </top>
      <bottom style="medium">
        <color theme="1" tint="0.34998626667073579"/>
      </bottom>
      <diagonal/>
    </border>
    <border>
      <left style="thin">
        <color indexed="64"/>
      </left>
      <right style="thin">
        <color indexed="64"/>
      </right>
      <top style="thin">
        <color theme="1" tint="0.499984740745262"/>
      </top>
      <bottom style="medium">
        <color theme="1" tint="0.34998626667073579"/>
      </bottom>
      <diagonal/>
    </border>
    <border>
      <left style="thin">
        <color indexed="64"/>
      </left>
      <right style="thin">
        <color indexed="64"/>
      </right>
      <top style="thin">
        <color theme="1" tint="0.499984740745262"/>
      </top>
      <bottom style="medium">
        <color indexed="64"/>
      </bottom>
      <diagonal/>
    </border>
    <border>
      <left style="thin">
        <color indexed="64"/>
      </left>
      <right style="thin">
        <color indexed="64"/>
      </right>
      <top/>
      <bottom style="thin">
        <color theme="1" tint="0.499984740745262"/>
      </bottom>
      <diagonal/>
    </border>
    <border>
      <left style="thin">
        <color indexed="64"/>
      </left>
      <right style="medium">
        <color indexed="64"/>
      </right>
      <top style="thin">
        <color theme="1" tint="0.499984740745262"/>
      </top>
      <bottom/>
      <diagonal/>
    </border>
    <border>
      <left style="medium">
        <color rgb="FF000000"/>
      </left>
      <right style="thin">
        <color theme="1" tint="0.34998626667073579"/>
      </right>
      <top style="medium">
        <color rgb="FF000000"/>
      </top>
      <bottom style="thin">
        <color theme="1" tint="0.34998626667073579"/>
      </bottom>
      <diagonal/>
    </border>
    <border>
      <left style="thin">
        <color indexed="64"/>
      </left>
      <right style="thin">
        <color indexed="64"/>
      </right>
      <top style="medium">
        <color rgb="FF000000"/>
      </top>
      <bottom style="thin">
        <color indexed="64"/>
      </bottom>
      <diagonal/>
    </border>
    <border>
      <left style="thin">
        <color indexed="64"/>
      </left>
      <right style="medium">
        <color rgb="FF000000"/>
      </right>
      <top style="medium">
        <color rgb="FF000000"/>
      </top>
      <bottom style="thin">
        <color indexed="64"/>
      </bottom>
      <diagonal/>
    </border>
    <border>
      <left style="medium">
        <color rgb="FF000000"/>
      </left>
      <right style="thin">
        <color theme="1" tint="0.34998626667073579"/>
      </right>
      <top style="thin">
        <color theme="1" tint="0.34998626667073579"/>
      </top>
      <bottom style="thin">
        <color theme="1" tint="0.34998626667073579"/>
      </bottom>
      <diagonal/>
    </border>
    <border>
      <left style="thin">
        <color indexed="64"/>
      </left>
      <right style="medium">
        <color rgb="FF000000"/>
      </right>
      <top style="thin">
        <color indexed="64"/>
      </top>
      <bottom style="thin">
        <color indexed="64"/>
      </bottom>
      <diagonal/>
    </border>
    <border>
      <left style="medium">
        <color rgb="FF000000"/>
      </left>
      <right style="thin">
        <color theme="1" tint="0.34998626667073579"/>
      </right>
      <top style="thin">
        <color theme="1" tint="0.34998626667073579"/>
      </top>
      <bottom style="medium">
        <color rgb="FF000000"/>
      </bottom>
      <diagonal/>
    </border>
    <border>
      <left style="thin">
        <color indexed="64"/>
      </left>
      <right style="thin">
        <color indexed="64"/>
      </right>
      <top style="thin">
        <color indexed="64"/>
      </top>
      <bottom style="medium">
        <color rgb="FF000000"/>
      </bottom>
      <diagonal/>
    </border>
    <border>
      <left style="thin">
        <color indexed="64"/>
      </left>
      <right style="medium">
        <color rgb="FF000000"/>
      </right>
      <top style="thin">
        <color indexed="64"/>
      </top>
      <bottom style="medium">
        <color rgb="FF000000"/>
      </bottom>
      <diagonal/>
    </border>
    <border>
      <left style="thin">
        <color indexed="64"/>
      </left>
      <right/>
      <top style="medium">
        <color indexed="64"/>
      </top>
      <bottom style="thin">
        <color theme="1" tint="0.34998626667073579"/>
      </bottom>
      <diagonal/>
    </border>
    <border>
      <left style="thin">
        <color indexed="64"/>
      </left>
      <right/>
      <top style="thin">
        <color theme="1" tint="0.34998626667073579"/>
      </top>
      <bottom style="thin">
        <color theme="1" tint="0.34998626667073579"/>
      </bottom>
      <diagonal/>
    </border>
    <border>
      <left style="thin">
        <color indexed="64"/>
      </left>
      <right/>
      <top style="thin">
        <color theme="1" tint="0.34998626667073579"/>
      </top>
      <bottom/>
      <diagonal/>
    </border>
    <border>
      <left style="thin">
        <color theme="1" tint="0.34998626667073579"/>
      </left>
      <right style="medium">
        <color theme="1" tint="0.34998626667073579"/>
      </right>
      <top style="thin">
        <color theme="1" tint="0.34998626667073579"/>
      </top>
      <bottom/>
      <diagonal/>
    </border>
    <border>
      <left style="thin">
        <color rgb="FF000000"/>
      </left>
      <right style="thin">
        <color rgb="FF000000"/>
      </right>
      <top style="thin">
        <color rgb="FF000000"/>
      </top>
      <bottom style="thin">
        <color rgb="FF000000"/>
      </bottom>
      <diagonal/>
    </border>
    <border>
      <left style="medium">
        <color rgb="FF000000"/>
      </left>
      <right style="thin">
        <color indexed="64"/>
      </right>
      <top style="medium">
        <color rgb="FF000000"/>
      </top>
      <bottom style="thin">
        <color theme="1" tint="0.499984740745262"/>
      </bottom>
      <diagonal/>
    </border>
    <border>
      <left style="thin">
        <color indexed="64"/>
      </left>
      <right style="thin">
        <color indexed="64"/>
      </right>
      <top style="medium">
        <color rgb="FF000000"/>
      </top>
      <bottom/>
      <diagonal/>
    </border>
    <border>
      <left style="thin">
        <color indexed="64"/>
      </left>
      <right style="thin">
        <color indexed="64"/>
      </right>
      <top style="medium">
        <color rgb="FF000000"/>
      </top>
      <bottom style="thin">
        <color theme="1" tint="0.34998626667073579"/>
      </bottom>
      <diagonal/>
    </border>
    <border>
      <left style="thin">
        <color indexed="64"/>
      </left>
      <right style="medium">
        <color rgb="FF000000"/>
      </right>
      <top style="medium">
        <color rgb="FF000000"/>
      </top>
      <bottom/>
      <diagonal/>
    </border>
    <border>
      <left style="medium">
        <color rgb="FF000000"/>
      </left>
      <right style="thin">
        <color indexed="64"/>
      </right>
      <top style="thin">
        <color theme="1" tint="0.499984740745262"/>
      </top>
      <bottom style="thin">
        <color theme="1" tint="0.499984740745262"/>
      </bottom>
      <diagonal/>
    </border>
    <border>
      <left style="thin">
        <color indexed="64"/>
      </left>
      <right style="medium">
        <color rgb="FF000000"/>
      </right>
      <top/>
      <bottom/>
      <diagonal/>
    </border>
    <border>
      <left style="medium">
        <color rgb="FF000000"/>
      </left>
      <right style="thin">
        <color indexed="64"/>
      </right>
      <top style="thin">
        <color theme="1" tint="0.499984740745262"/>
      </top>
      <bottom style="medium">
        <color rgb="FF000000"/>
      </bottom>
      <diagonal/>
    </border>
    <border>
      <left style="thin">
        <color indexed="64"/>
      </left>
      <right style="thin">
        <color indexed="64"/>
      </right>
      <top/>
      <bottom style="medium">
        <color rgb="FF000000"/>
      </bottom>
      <diagonal/>
    </border>
    <border>
      <left style="thin">
        <color indexed="64"/>
      </left>
      <right style="thin">
        <color indexed="64"/>
      </right>
      <top style="thin">
        <color theme="1" tint="0.34998626667073579"/>
      </top>
      <bottom style="medium">
        <color rgb="FF000000"/>
      </bottom>
      <diagonal/>
    </border>
    <border>
      <left style="thin">
        <color indexed="64"/>
      </left>
      <right style="medium">
        <color rgb="FF000000"/>
      </right>
      <top/>
      <bottom style="medium">
        <color rgb="FF000000"/>
      </bottom>
      <diagonal/>
    </border>
    <border>
      <left style="thin">
        <color theme="1" tint="0.499984740745262"/>
      </left>
      <right style="thin">
        <color indexed="64"/>
      </right>
      <top/>
      <bottom style="thin">
        <color theme="1" tint="0.499984740745262"/>
      </bottom>
      <diagonal/>
    </border>
    <border>
      <left style="thin">
        <color indexed="64"/>
      </left>
      <right style="thin">
        <color indexed="64"/>
      </right>
      <top style="medium">
        <color rgb="FF000000"/>
      </top>
      <bottom style="thin">
        <color theme="1" tint="0.499984740745262"/>
      </bottom>
      <diagonal/>
    </border>
    <border>
      <left style="thin">
        <color indexed="64"/>
      </left>
      <right style="thin">
        <color indexed="64"/>
      </right>
      <top style="thin">
        <color theme="1" tint="0.499984740745262"/>
      </top>
      <bottom style="medium">
        <color rgb="FF000000"/>
      </bottom>
      <diagonal/>
    </border>
    <border>
      <left style="thin">
        <color indexed="64"/>
      </left>
      <right/>
      <top style="medium">
        <color indexed="64"/>
      </top>
      <bottom style="thin">
        <color theme="1" tint="0.499984740745262"/>
      </bottom>
      <diagonal/>
    </border>
    <border>
      <left style="thin">
        <color indexed="64"/>
      </left>
      <right/>
      <top style="thin">
        <color theme="1" tint="0.499984740745262"/>
      </top>
      <bottom style="thin">
        <color theme="1" tint="0.499984740745262"/>
      </bottom>
      <diagonal/>
    </border>
    <border>
      <left style="thin">
        <color indexed="64"/>
      </left>
      <right/>
      <top style="thin">
        <color theme="1" tint="0.499984740745262"/>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top style="medium">
        <color rgb="FF000000"/>
      </top>
      <bottom style="thin">
        <color theme="1" tint="0.499984740745262"/>
      </bottom>
      <diagonal/>
    </border>
    <border>
      <left style="thin">
        <color indexed="64"/>
      </left>
      <right/>
      <top style="thin">
        <color theme="1" tint="0.499984740745262"/>
      </top>
      <bottom style="medium">
        <color rgb="FF000000"/>
      </bottom>
      <diagonal/>
    </border>
    <border>
      <left style="thin">
        <color indexed="64"/>
      </left>
      <right/>
      <top/>
      <bottom style="thin">
        <color theme="1" tint="0.499984740745262"/>
      </bottom>
      <diagonal/>
    </border>
    <border>
      <left/>
      <right/>
      <top/>
      <bottom style="thin">
        <color theme="0" tint="-0.499984740745262"/>
      </bottom>
      <diagonal/>
    </border>
  </borders>
  <cellStyleXfs count="56">
    <xf numFmtId="0" fontId="0" fillId="0" borderId="0"/>
    <xf numFmtId="0" fontId="1" fillId="0" borderId="0"/>
    <xf numFmtId="9" fontId="2" fillId="0" borderId="0" applyFont="0" applyFill="0" applyBorder="0" applyAlignment="0" applyProtection="0"/>
    <xf numFmtId="0" fontId="6" fillId="0" borderId="0" applyNumberFormat="0" applyFill="0" applyBorder="0" applyAlignment="0" applyProtection="0"/>
    <xf numFmtId="0" fontId="8" fillId="0" borderId="0"/>
    <xf numFmtId="0" fontId="10" fillId="0" borderId="0" applyNumberFormat="0" applyFill="0" applyBorder="0" applyAlignment="0" applyProtection="0"/>
    <xf numFmtId="43" fontId="2" fillId="0" borderId="0" applyFont="0" applyFill="0" applyBorder="0" applyAlignment="0" applyProtection="0"/>
    <xf numFmtId="0" fontId="2" fillId="0" borderId="0"/>
    <xf numFmtId="9" fontId="8" fillId="0" borderId="0" applyFont="0" applyFill="0" applyBorder="0" applyAlignment="0" applyProtection="0"/>
    <xf numFmtId="0" fontId="16" fillId="0" borderId="0"/>
    <xf numFmtId="0" fontId="18" fillId="0" borderId="0" applyNumberFormat="0" applyFill="0" applyBorder="0" applyAlignment="0" applyProtection="0"/>
    <xf numFmtId="0" fontId="8" fillId="0" borderId="0"/>
    <xf numFmtId="0" fontId="8" fillId="0" borderId="0"/>
    <xf numFmtId="0" fontId="45" fillId="0" borderId="108" applyNumberFormat="0" applyFill="0" applyAlignment="0" applyProtection="0"/>
    <xf numFmtId="0" fontId="46" fillId="0" borderId="109" applyNumberFormat="0" applyFill="0" applyAlignment="0" applyProtection="0"/>
    <xf numFmtId="0" fontId="47" fillId="0" borderId="110" applyNumberFormat="0" applyFill="0" applyAlignment="0" applyProtection="0"/>
    <xf numFmtId="0" fontId="47" fillId="0" borderId="0" applyNumberFormat="0" applyFill="0" applyBorder="0" applyAlignment="0" applyProtection="0"/>
    <xf numFmtId="0" fontId="48" fillId="16" borderId="0" applyNumberFormat="0" applyBorder="0" applyAlignment="0" applyProtection="0"/>
    <xf numFmtId="0" fontId="49" fillId="17" borderId="0" applyNumberFormat="0" applyBorder="0" applyAlignment="0" applyProtection="0"/>
    <xf numFmtId="0" fontId="50" fillId="19" borderId="111" applyNumberFormat="0" applyAlignment="0" applyProtection="0"/>
    <xf numFmtId="0" fontId="51" fillId="20" borderId="112" applyNumberFormat="0" applyAlignment="0" applyProtection="0"/>
    <xf numFmtId="0" fontId="52" fillId="20" borderId="111" applyNumberFormat="0" applyAlignment="0" applyProtection="0"/>
    <xf numFmtId="0" fontId="53" fillId="0" borderId="113" applyNumberFormat="0" applyFill="0" applyAlignment="0" applyProtection="0"/>
    <xf numFmtId="0" fontId="11" fillId="21" borderId="114" applyNumberFormat="0" applyAlignment="0" applyProtection="0"/>
    <xf numFmtId="0" fontId="54" fillId="0" borderId="0" applyNumberFormat="0" applyFill="0" applyBorder="0" applyAlignment="0" applyProtection="0"/>
    <xf numFmtId="0" fontId="2" fillId="22" borderId="115" applyNumberFormat="0" applyFont="0" applyAlignment="0" applyProtection="0"/>
    <xf numFmtId="0" fontId="55" fillId="0" borderId="0" applyNumberFormat="0" applyFill="0" applyBorder="0" applyAlignment="0" applyProtection="0"/>
    <xf numFmtId="0" fontId="3" fillId="0" borderId="116" applyNumberFormat="0" applyFill="0" applyAlignment="0" applyProtection="0"/>
    <xf numFmtId="0" fontId="13" fillId="23" borderId="0" applyNumberFormat="0" applyBorder="0" applyAlignment="0" applyProtection="0"/>
    <xf numFmtId="0" fontId="2" fillId="24" borderId="0" applyNumberFormat="0" applyBorder="0" applyAlignment="0" applyProtection="0"/>
    <xf numFmtId="0" fontId="2" fillId="25" borderId="0" applyNumberFormat="0" applyBorder="0" applyAlignment="0" applyProtection="0"/>
    <xf numFmtId="0" fontId="13" fillId="27" borderId="0" applyNumberFormat="0" applyBorder="0" applyAlignment="0" applyProtection="0"/>
    <xf numFmtId="0" fontId="2" fillId="28" borderId="0" applyNumberFormat="0" applyBorder="0" applyAlignment="0" applyProtection="0"/>
    <xf numFmtId="0" fontId="2" fillId="29" borderId="0" applyNumberFormat="0" applyBorder="0" applyAlignment="0" applyProtection="0"/>
    <xf numFmtId="0" fontId="13" fillId="31" borderId="0" applyNumberFormat="0" applyBorder="0" applyAlignment="0" applyProtection="0"/>
    <xf numFmtId="0" fontId="2" fillId="32" borderId="0" applyNumberFormat="0" applyBorder="0" applyAlignment="0" applyProtection="0"/>
    <xf numFmtId="0" fontId="2" fillId="33" borderId="0" applyNumberFormat="0" applyBorder="0" applyAlignment="0" applyProtection="0"/>
    <xf numFmtId="0" fontId="13" fillId="35" borderId="0" applyNumberFormat="0" applyBorder="0" applyAlignment="0" applyProtection="0"/>
    <xf numFmtId="0" fontId="2" fillId="36" borderId="0" applyNumberFormat="0" applyBorder="0" applyAlignment="0" applyProtection="0"/>
    <xf numFmtId="0" fontId="2" fillId="37" borderId="0" applyNumberFormat="0" applyBorder="0" applyAlignment="0" applyProtection="0"/>
    <xf numFmtId="0" fontId="13" fillId="39" borderId="0" applyNumberFormat="0" applyBorder="0" applyAlignment="0" applyProtection="0"/>
    <xf numFmtId="0" fontId="2" fillId="40" borderId="0" applyNumberFormat="0" applyBorder="0" applyAlignment="0" applyProtection="0"/>
    <xf numFmtId="0" fontId="2" fillId="41" borderId="0" applyNumberFormat="0" applyBorder="0" applyAlignment="0" applyProtection="0"/>
    <xf numFmtId="0" fontId="13" fillId="43" borderId="0" applyNumberFormat="0" applyBorder="0" applyAlignment="0" applyProtection="0"/>
    <xf numFmtId="0" fontId="2" fillId="44" borderId="0" applyNumberFormat="0" applyBorder="0" applyAlignment="0" applyProtection="0"/>
    <xf numFmtId="0" fontId="2" fillId="45" borderId="0" applyNumberFormat="0" applyBorder="0" applyAlignment="0" applyProtection="0"/>
    <xf numFmtId="0" fontId="58" fillId="0" borderId="0" applyNumberFormat="0" applyFill="0" applyBorder="0" applyAlignment="0" applyProtection="0"/>
    <xf numFmtId="0" fontId="59" fillId="18" borderId="0" applyNumberFormat="0" applyBorder="0" applyAlignment="0" applyProtection="0"/>
    <xf numFmtId="0" fontId="13" fillId="26" borderId="0" applyNumberFormat="0" applyBorder="0" applyAlignment="0" applyProtection="0"/>
    <xf numFmtId="0" fontId="13" fillId="30" borderId="0" applyNumberFormat="0" applyBorder="0" applyAlignment="0" applyProtection="0"/>
    <xf numFmtId="0" fontId="13" fillId="34" borderId="0" applyNumberFormat="0" applyBorder="0" applyAlignment="0" applyProtection="0"/>
    <xf numFmtId="0" fontId="13" fillId="38" borderId="0" applyNumberFormat="0" applyBorder="0" applyAlignment="0" applyProtection="0"/>
    <xf numFmtId="0" fontId="13" fillId="42" borderId="0" applyNumberFormat="0" applyBorder="0" applyAlignment="0" applyProtection="0"/>
    <xf numFmtId="0" fontId="13" fillId="46" borderId="0" applyNumberFormat="0" applyBorder="0" applyAlignment="0" applyProtection="0"/>
    <xf numFmtId="0" fontId="2" fillId="0" borderId="0"/>
    <xf numFmtId="0" fontId="14" fillId="0" borderId="0"/>
  </cellStyleXfs>
  <cellXfs count="794">
    <xf numFmtId="0" fontId="0" fillId="0" borderId="0" xfId="0"/>
    <xf numFmtId="0" fontId="3" fillId="0" borderId="0" xfId="0" applyFont="1"/>
    <xf numFmtId="0" fontId="14" fillId="0" borderId="0" xfId="0" applyFont="1"/>
    <xf numFmtId="0" fontId="14" fillId="0" borderId="0" xfId="0" applyFont="1" applyAlignment="1">
      <alignment horizontal="center" vertical="center"/>
    </xf>
    <xf numFmtId="0" fontId="8" fillId="0" borderId="0" xfId="0" applyFont="1"/>
    <xf numFmtId="0" fontId="9" fillId="0" borderId="0" xfId="0" applyFont="1"/>
    <xf numFmtId="0" fontId="8" fillId="0" borderId="0" xfId="0" applyFont="1" applyAlignment="1">
      <alignment vertical="center"/>
    </xf>
    <xf numFmtId="0" fontId="8" fillId="0" borderId="0" xfId="0" applyFont="1" applyAlignment="1">
      <alignment horizontal="center" vertical="center" wrapText="1"/>
    </xf>
    <xf numFmtId="0" fontId="18" fillId="0" borderId="0" xfId="5" applyFont="1"/>
    <xf numFmtId="0" fontId="8" fillId="0" borderId="0" xfId="0" applyFont="1" applyAlignment="1">
      <alignment wrapText="1"/>
    </xf>
    <xf numFmtId="0" fontId="17" fillId="0" borderId="0" xfId="0" applyFont="1" applyAlignment="1">
      <alignment vertical="center"/>
    </xf>
    <xf numFmtId="0" fontId="1" fillId="0" borderId="2" xfId="1" applyBorder="1" applyAlignment="1">
      <alignment vertical="center" wrapText="1"/>
    </xf>
    <xf numFmtId="3" fontId="1" fillId="0" borderId="2" xfId="1" applyNumberFormat="1" applyBorder="1" applyAlignment="1">
      <alignment horizontal="center" vertical="center" wrapText="1"/>
    </xf>
    <xf numFmtId="0" fontId="1" fillId="0" borderId="2" xfId="1" applyBorder="1" applyAlignment="1">
      <alignment vertical="center"/>
    </xf>
    <xf numFmtId="0" fontId="1" fillId="0" borderId="2" xfId="1" applyBorder="1" applyAlignment="1">
      <alignment horizontal="center" vertical="center" wrapText="1"/>
    </xf>
    <xf numFmtId="0" fontId="8" fillId="0" borderId="2" xfId="0" applyFont="1" applyBorder="1" applyAlignment="1">
      <alignment vertical="center"/>
    </xf>
    <xf numFmtId="0" fontId="8" fillId="0" borderId="2" xfId="0" applyFont="1" applyBorder="1" applyAlignment="1">
      <alignment horizontal="center" vertical="center" wrapText="1"/>
    </xf>
    <xf numFmtId="0" fontId="8" fillId="0" borderId="2" xfId="0" applyFont="1" applyBorder="1" applyAlignment="1">
      <alignment vertical="center" wrapText="1"/>
    </xf>
    <xf numFmtId="0" fontId="21" fillId="7" borderId="2" xfId="0" applyFont="1" applyFill="1" applyBorder="1" applyAlignment="1">
      <alignment vertical="center"/>
    </xf>
    <xf numFmtId="0" fontId="21" fillId="7" borderId="2" xfId="0" applyFont="1" applyFill="1" applyBorder="1" applyAlignment="1">
      <alignment horizontal="left" vertical="center"/>
    </xf>
    <xf numFmtId="3" fontId="8" fillId="0" borderId="2" xfId="7" applyNumberFormat="1" applyFont="1" applyBorder="1" applyAlignment="1">
      <alignment horizontal="center" vertical="center"/>
    </xf>
    <xf numFmtId="1" fontId="1" fillId="0" borderId="2" xfId="7" applyNumberFormat="1" applyFont="1" applyBorder="1" applyAlignment="1">
      <alignment horizontal="center" vertical="center"/>
    </xf>
    <xf numFmtId="3" fontId="12" fillId="0" borderId="2" xfId="3" applyNumberFormat="1" applyFont="1" applyBorder="1" applyAlignment="1">
      <alignment horizontal="center" vertical="center" wrapText="1"/>
    </xf>
    <xf numFmtId="0" fontId="1" fillId="0" borderId="0" xfId="0" applyFont="1" applyAlignment="1">
      <alignment vertical="top"/>
    </xf>
    <xf numFmtId="0" fontId="8" fillId="0" borderId="0" xfId="0" applyFont="1" applyAlignment="1">
      <alignment horizontal="center" vertical="top" wrapText="1"/>
    </xf>
    <xf numFmtId="0" fontId="8" fillId="0" borderId="0" xfId="0" applyFont="1" applyAlignment="1">
      <alignment horizontal="left" vertical="top" wrapText="1"/>
    </xf>
    <xf numFmtId="0" fontId="9" fillId="0" borderId="0" xfId="0" applyFont="1" applyAlignment="1">
      <alignment horizontal="center" vertical="top" wrapText="1"/>
    </xf>
    <xf numFmtId="168" fontId="18" fillId="0" borderId="0" xfId="5" applyNumberFormat="1" applyFont="1" applyAlignment="1">
      <alignment horizontal="left" vertical="top"/>
    </xf>
    <xf numFmtId="0" fontId="9" fillId="2" borderId="0" xfId="0" applyFont="1" applyFill="1"/>
    <xf numFmtId="0" fontId="9" fillId="2" borderId="0" xfId="0" applyFont="1" applyFill="1" applyAlignment="1">
      <alignment wrapText="1"/>
    </xf>
    <xf numFmtId="0" fontId="9" fillId="2" borderId="0" xfId="0" applyFont="1" applyFill="1" applyAlignment="1">
      <alignment horizontal="left"/>
    </xf>
    <xf numFmtId="0" fontId="9" fillId="2" borderId="0" xfId="0" applyFont="1" applyFill="1" applyAlignment="1">
      <alignment horizontal="center"/>
    </xf>
    <xf numFmtId="0" fontId="22" fillId="7" borderId="2" xfId="0" applyFont="1" applyFill="1" applyBorder="1" applyAlignment="1">
      <alignment horizontal="center" vertical="center" wrapText="1"/>
    </xf>
    <xf numFmtId="0" fontId="21" fillId="7" borderId="2" xfId="0" applyFont="1" applyFill="1" applyBorder="1" applyAlignment="1">
      <alignment horizontal="center" vertical="center"/>
    </xf>
    <xf numFmtId="9" fontId="8" fillId="0" borderId="0" xfId="2" applyFont="1" applyFill="1" applyBorder="1" applyAlignment="1">
      <alignment horizontal="center" vertical="center"/>
    </xf>
    <xf numFmtId="0" fontId="21" fillId="7" borderId="22" xfId="0" applyFont="1" applyFill="1" applyBorder="1" applyAlignment="1">
      <alignment horizontal="center" vertical="center" wrapText="1"/>
    </xf>
    <xf numFmtId="0" fontId="9" fillId="0" borderId="0" xfId="0" applyFont="1" applyAlignment="1">
      <alignment horizontal="left" vertical="center" wrapText="1"/>
    </xf>
    <xf numFmtId="9" fontId="8" fillId="0" borderId="0" xfId="2" applyFont="1" applyFill="1" applyBorder="1"/>
    <xf numFmtId="9" fontId="8" fillId="0" borderId="0" xfId="0" applyNumberFormat="1" applyFont="1"/>
    <xf numFmtId="9" fontId="9" fillId="0" borderId="0" xfId="2" applyFont="1" applyFill="1" applyBorder="1"/>
    <xf numFmtId="164" fontId="8" fillId="0" borderId="0" xfId="0" applyNumberFormat="1" applyFont="1"/>
    <xf numFmtId="0" fontId="1" fillId="0" borderId="2" xfId="0" applyFont="1" applyBorder="1" applyAlignment="1">
      <alignment horizontal="center" vertical="center"/>
    </xf>
    <xf numFmtId="0" fontId="9" fillId="7" borderId="22" xfId="0" applyFont="1" applyFill="1" applyBorder="1" applyAlignment="1">
      <alignment horizontal="center" vertical="center"/>
    </xf>
    <xf numFmtId="9" fontId="8" fillId="0" borderId="0" xfId="0" applyNumberFormat="1" applyFont="1" applyAlignment="1">
      <alignment vertical="center"/>
    </xf>
    <xf numFmtId="0" fontId="9" fillId="0" borderId="0" xfId="0" applyFont="1" applyAlignment="1">
      <alignment vertical="center"/>
    </xf>
    <xf numFmtId="0" fontId="26" fillId="0" borderId="0" xfId="0" applyFont="1" applyAlignment="1">
      <alignment horizontal="left" vertical="center"/>
    </xf>
    <xf numFmtId="2" fontId="8" fillId="0" borderId="22" xfId="0" applyNumberFormat="1" applyFont="1" applyBorder="1" applyAlignment="1">
      <alignment horizontal="center" vertical="center"/>
    </xf>
    <xf numFmtId="0" fontId="25" fillId="0" borderId="0" xfId="0" applyFont="1" applyAlignment="1">
      <alignment horizontal="center" vertical="center"/>
    </xf>
    <xf numFmtId="0" fontId="28" fillId="4" borderId="0" xfId="0" applyFont="1" applyFill="1" applyAlignment="1">
      <alignment vertical="center" wrapText="1"/>
    </xf>
    <xf numFmtId="0" fontId="25" fillId="4" borderId="0" xfId="0" applyFont="1" applyFill="1" applyAlignment="1">
      <alignment horizontal="center" vertical="center"/>
    </xf>
    <xf numFmtId="165" fontId="25" fillId="4" borderId="0" xfId="0" applyNumberFormat="1" applyFont="1" applyFill="1" applyAlignment="1">
      <alignment horizontal="center" vertical="center"/>
    </xf>
    <xf numFmtId="0" fontId="26" fillId="0" borderId="0" xfId="0" applyFont="1" applyAlignment="1">
      <alignment horizontal="left"/>
    </xf>
    <xf numFmtId="0" fontId="27" fillId="0" borderId="0" xfId="0" applyFont="1" applyAlignment="1">
      <alignment horizontal="left" vertical="center" wrapText="1"/>
    </xf>
    <xf numFmtId="0" fontId="27" fillId="0" borderId="0" xfId="0" applyFont="1" applyAlignment="1">
      <alignment horizontal="left" vertical="center"/>
    </xf>
    <xf numFmtId="0" fontId="27" fillId="0" borderId="0" xfId="0" applyFont="1" applyAlignment="1">
      <alignment horizontal="center" vertical="center" wrapText="1"/>
    </xf>
    <xf numFmtId="10" fontId="8" fillId="0" borderId="0" xfId="8" applyNumberFormat="1" applyFont="1" applyFill="1" applyBorder="1" applyAlignment="1">
      <alignment horizontal="center"/>
    </xf>
    <xf numFmtId="0" fontId="9" fillId="0" borderId="0" xfId="4" applyFont="1" applyAlignment="1">
      <alignment horizontal="center"/>
    </xf>
    <xf numFmtId="9" fontId="8" fillId="0" borderId="0" xfId="2" applyFont="1" applyFill="1" applyBorder="1" applyAlignment="1">
      <alignment horizontal="left"/>
    </xf>
    <xf numFmtId="1" fontId="8" fillId="0" borderId="0" xfId="2" applyNumberFormat="1" applyFont="1" applyFill="1" applyBorder="1"/>
    <xf numFmtId="168" fontId="25" fillId="0" borderId="0" xfId="0" applyNumberFormat="1" applyFont="1" applyAlignment="1">
      <alignment horizontal="center" vertical="center"/>
    </xf>
    <xf numFmtId="0" fontId="15" fillId="0" borderId="0" xfId="0" applyFont="1" applyAlignment="1">
      <alignment vertical="center"/>
    </xf>
    <xf numFmtId="0" fontId="9" fillId="7" borderId="11" xfId="0" applyFont="1" applyFill="1" applyBorder="1" applyAlignment="1">
      <alignment horizontal="center" vertical="center" wrapText="1"/>
    </xf>
    <xf numFmtId="0" fontId="29" fillId="0" borderId="0" xfId="0" applyFont="1"/>
    <xf numFmtId="0" fontId="30" fillId="2" borderId="0" xfId="0" applyFont="1" applyFill="1"/>
    <xf numFmtId="0" fontId="31" fillId="0" borderId="0" xfId="0" quotePrefix="1" applyFont="1"/>
    <xf numFmtId="0" fontId="29" fillId="0" borderId="0" xfId="0" applyFont="1" applyAlignment="1">
      <alignment wrapText="1"/>
    </xf>
    <xf numFmtId="0" fontId="29" fillId="0" borderId="0" xfId="0" applyFont="1" applyAlignment="1">
      <alignment horizontal="center"/>
    </xf>
    <xf numFmtId="166" fontId="1" fillId="0" borderId="2" xfId="1" applyNumberFormat="1" applyBorder="1" applyAlignment="1">
      <alignment horizontal="center" vertical="center" wrapText="1"/>
    </xf>
    <xf numFmtId="0" fontId="10" fillId="0" borderId="0" xfId="5" applyAlignment="1">
      <alignment vertical="center"/>
    </xf>
    <xf numFmtId="0" fontId="8" fillId="0" borderId="0" xfId="4" applyAlignment="1">
      <alignment horizontal="center" vertical="center"/>
    </xf>
    <xf numFmtId="9" fontId="8" fillId="0" borderId="0" xfId="0" applyNumberFormat="1" applyFont="1" applyAlignment="1">
      <alignment horizontal="center"/>
    </xf>
    <xf numFmtId="9" fontId="8" fillId="0" borderId="0" xfId="0" applyNumberFormat="1" applyFont="1" applyAlignment="1">
      <alignment horizontal="left"/>
    </xf>
    <xf numFmtId="0" fontId="1" fillId="0" borderId="2" xfId="0" applyFont="1" applyBorder="1" applyAlignment="1">
      <alignment horizontal="left" vertical="center" wrapText="1"/>
    </xf>
    <xf numFmtId="0" fontId="9" fillId="7" borderId="22" xfId="0" applyFont="1" applyFill="1" applyBorder="1" applyAlignment="1">
      <alignment horizontal="center" vertical="center" wrapText="1"/>
    </xf>
    <xf numFmtId="0" fontId="8" fillId="0" borderId="2" xfId="0" applyFont="1" applyBorder="1"/>
    <xf numFmtId="0" fontId="21" fillId="7" borderId="11" xfId="0" applyFont="1" applyFill="1" applyBorder="1" applyAlignment="1">
      <alignment horizontal="center" vertical="center" wrapText="1"/>
    </xf>
    <xf numFmtId="0" fontId="9" fillId="7" borderId="25" xfId="0" applyFont="1" applyFill="1" applyBorder="1" applyAlignment="1">
      <alignment horizontal="center" vertical="center"/>
    </xf>
    <xf numFmtId="0" fontId="32" fillId="0" borderId="0" xfId="0" applyFont="1" applyAlignment="1">
      <alignment vertical="center"/>
    </xf>
    <xf numFmtId="0" fontId="33" fillId="0" borderId="0" xfId="0" applyFont="1"/>
    <xf numFmtId="0" fontId="35" fillId="0" borderId="0" xfId="0" applyFont="1" applyAlignment="1">
      <alignment vertical="center"/>
    </xf>
    <xf numFmtId="0" fontId="8" fillId="0" borderId="20" xfId="0" applyFont="1" applyBorder="1"/>
    <xf numFmtId="169" fontId="8" fillId="0" borderId="0" xfId="6" applyNumberFormat="1" applyFont="1"/>
    <xf numFmtId="169" fontId="8" fillId="0" borderId="20" xfId="6" applyNumberFormat="1" applyFont="1" applyBorder="1"/>
    <xf numFmtId="0" fontId="8" fillId="0" borderId="2" xfId="0" applyFont="1" applyBorder="1" applyAlignment="1">
      <alignment wrapText="1"/>
    </xf>
    <xf numFmtId="0" fontId="8" fillId="0" borderId="15" xfId="0" applyFont="1" applyBorder="1"/>
    <xf numFmtId="0" fontId="8" fillId="0" borderId="18" xfId="0" applyFont="1" applyBorder="1"/>
    <xf numFmtId="0" fontId="8" fillId="0" borderId="15" xfId="0" applyFont="1" applyBorder="1" applyAlignment="1">
      <alignment horizontal="right" vertical="center"/>
    </xf>
    <xf numFmtId="3" fontId="8" fillId="0" borderId="10" xfId="7" applyNumberFormat="1" applyFont="1" applyBorder="1" applyAlignment="1">
      <alignment horizontal="center" vertical="center"/>
    </xf>
    <xf numFmtId="3" fontId="8" fillId="0" borderId="28" xfId="7" applyNumberFormat="1" applyFont="1" applyBorder="1" applyAlignment="1">
      <alignment horizontal="center" vertical="center"/>
    </xf>
    <xf numFmtId="3" fontId="8" fillId="0" borderId="18" xfId="7" applyNumberFormat="1" applyFont="1" applyBorder="1" applyAlignment="1">
      <alignment horizontal="center" vertical="center"/>
    </xf>
    <xf numFmtId="10" fontId="8" fillId="0" borderId="2" xfId="0" applyNumberFormat="1" applyFont="1" applyBorder="1" applyAlignment="1">
      <alignment horizontal="center" vertical="center" wrapText="1"/>
    </xf>
    <xf numFmtId="0" fontId="1" fillId="0" borderId="22" xfId="0" applyFont="1" applyBorder="1" applyAlignment="1">
      <alignment horizontal="center" wrapText="1"/>
    </xf>
    <xf numFmtId="0" fontId="8" fillId="0" borderId="2" xfId="0" applyFont="1" applyBorder="1" applyAlignment="1">
      <alignment horizontal="left" vertical="center"/>
    </xf>
    <xf numFmtId="0" fontId="12" fillId="0" borderId="2" xfId="3" applyFont="1" applyFill="1" applyBorder="1" applyAlignment="1">
      <alignment horizontal="left" vertical="center" wrapText="1"/>
    </xf>
    <xf numFmtId="0" fontId="26" fillId="0" borderId="0" xfId="0" applyFont="1" applyAlignment="1">
      <alignment horizontal="center" vertical="center" wrapText="1"/>
    </xf>
    <xf numFmtId="0" fontId="36" fillId="0" borderId="2" xfId="0" applyFont="1" applyBorder="1" applyAlignment="1">
      <alignment horizontal="left" vertical="center" wrapText="1"/>
    </xf>
    <xf numFmtId="0" fontId="37" fillId="0" borderId="2" xfId="0" applyFont="1" applyBorder="1" applyAlignment="1">
      <alignment horizontal="center" vertical="center" wrapText="1"/>
    </xf>
    <xf numFmtId="0" fontId="37" fillId="0" borderId="2" xfId="0" applyFont="1" applyBorder="1" applyAlignment="1">
      <alignment horizontal="left" vertical="center" wrapText="1"/>
    </xf>
    <xf numFmtId="0" fontId="23" fillId="0" borderId="0" xfId="0" applyFont="1" applyAlignment="1">
      <alignment horizontal="left" vertical="center"/>
    </xf>
    <xf numFmtId="3" fontId="8" fillId="0" borderId="0" xfId="0" applyNumberFormat="1" applyFont="1" applyAlignment="1">
      <alignment horizontal="left"/>
    </xf>
    <xf numFmtId="0" fontId="27" fillId="13" borderId="2" xfId="0" applyFont="1" applyFill="1" applyBorder="1" applyAlignment="1">
      <alignment horizontal="center" vertical="center" wrapText="1"/>
    </xf>
    <xf numFmtId="0" fontId="9" fillId="7" borderId="2" xfId="0" applyFont="1" applyFill="1" applyBorder="1" applyAlignment="1">
      <alignment horizontal="center" vertical="center" wrapText="1"/>
    </xf>
    <xf numFmtId="3" fontId="14" fillId="0" borderId="2" xfId="0" applyNumberFormat="1" applyFont="1" applyBorder="1" applyAlignment="1">
      <alignment horizontal="center" vertical="center"/>
    </xf>
    <xf numFmtId="0" fontId="26" fillId="0" borderId="0" xfId="0" applyFont="1" applyAlignment="1">
      <alignment wrapText="1"/>
    </xf>
    <xf numFmtId="0" fontId="23" fillId="0" borderId="0" xfId="0" applyFont="1"/>
    <xf numFmtId="0" fontId="14" fillId="0" borderId="0" xfId="0" applyFont="1" applyAlignment="1">
      <alignment vertical="center"/>
    </xf>
    <xf numFmtId="0" fontId="1" fillId="0" borderId="22" xfId="0" applyFont="1" applyBorder="1" applyAlignment="1">
      <alignment horizontal="center" vertical="center"/>
    </xf>
    <xf numFmtId="0" fontId="8" fillId="4" borderId="0" xfId="0" applyFont="1" applyFill="1"/>
    <xf numFmtId="0" fontId="8" fillId="4" borderId="0" xfId="0" applyFont="1" applyFill="1" applyAlignment="1">
      <alignment horizontal="center"/>
    </xf>
    <xf numFmtId="0" fontId="8" fillId="9" borderId="0" xfId="0" applyFont="1" applyFill="1"/>
    <xf numFmtId="0" fontId="14" fillId="0" borderId="0" xfId="0" applyFont="1" applyAlignment="1">
      <alignment wrapText="1"/>
    </xf>
    <xf numFmtId="0" fontId="14" fillId="0" borderId="0" xfId="0" applyFont="1" applyAlignment="1">
      <alignment horizontal="center"/>
    </xf>
    <xf numFmtId="0" fontId="17" fillId="2" borderId="0" xfId="0" applyFont="1" applyFill="1"/>
    <xf numFmtId="0" fontId="17" fillId="2" borderId="0" xfId="0" applyFont="1" applyFill="1" applyAlignment="1">
      <alignment wrapText="1"/>
    </xf>
    <xf numFmtId="0" fontId="17" fillId="2" borderId="0" xfId="0" applyFont="1" applyFill="1" applyAlignment="1">
      <alignment horizontal="left"/>
    </xf>
    <xf numFmtId="0" fontId="17" fillId="2" borderId="0" xfId="0" applyFont="1" applyFill="1" applyAlignment="1">
      <alignment horizontal="center"/>
    </xf>
    <xf numFmtId="0" fontId="8" fillId="0" borderId="45" xfId="0" applyFont="1" applyBorder="1" applyAlignment="1">
      <alignment horizontal="center" vertical="center"/>
    </xf>
    <xf numFmtId="0" fontId="8" fillId="0" borderId="46" xfId="0" applyFont="1" applyBorder="1" applyAlignment="1">
      <alignment horizontal="center" vertical="center"/>
    </xf>
    <xf numFmtId="0" fontId="8" fillId="0" borderId="48" xfId="0" applyFont="1" applyBorder="1" applyAlignment="1">
      <alignment horizontal="center" vertical="center"/>
    </xf>
    <xf numFmtId="0" fontId="8" fillId="0" borderId="49" xfId="0" applyFont="1" applyBorder="1" applyAlignment="1">
      <alignment horizontal="center" vertical="center"/>
    </xf>
    <xf numFmtId="3" fontId="8" fillId="0" borderId="50" xfId="0" applyNumberFormat="1" applyFont="1" applyBorder="1" applyAlignment="1">
      <alignment horizontal="center"/>
    </xf>
    <xf numFmtId="0" fontId="21" fillId="0" borderId="0" xfId="0" applyFont="1" applyAlignment="1">
      <alignment vertical="center" wrapText="1"/>
    </xf>
    <xf numFmtId="0" fontId="12" fillId="0" borderId="0" xfId="3" applyFont="1" applyBorder="1" applyAlignment="1">
      <alignment horizontal="left" vertical="center" wrapText="1"/>
    </xf>
    <xf numFmtId="169" fontId="8" fillId="0" borderId="0" xfId="0" applyNumberFormat="1" applyFont="1"/>
    <xf numFmtId="169" fontId="8" fillId="0" borderId="0" xfId="6" applyNumberFormat="1" applyFont="1" applyBorder="1" applyAlignment="1">
      <alignment horizontal="left" vertical="center"/>
    </xf>
    <xf numFmtId="2" fontId="8" fillId="0" borderId="0" xfId="0" applyNumberFormat="1" applyFont="1" applyAlignment="1">
      <alignment horizontal="left"/>
    </xf>
    <xf numFmtId="0" fontId="1" fillId="0" borderId="0" xfId="0" applyFont="1"/>
    <xf numFmtId="0" fontId="25" fillId="0" borderId="55" xfId="0" applyFont="1" applyBorder="1" applyAlignment="1">
      <alignment horizontal="center" vertical="center"/>
    </xf>
    <xf numFmtId="2" fontId="25" fillId="0" borderId="53" xfId="0" applyNumberFormat="1" applyFont="1" applyBorder="1" applyAlignment="1">
      <alignment horizontal="center" vertical="center"/>
    </xf>
    <xf numFmtId="2" fontId="25" fillId="0" borderId="54" xfId="0" applyNumberFormat="1" applyFont="1" applyBorder="1" applyAlignment="1">
      <alignment horizontal="center" vertical="center"/>
    </xf>
    <xf numFmtId="0" fontId="25" fillId="0" borderId="58" xfId="0" applyFont="1" applyBorder="1" applyAlignment="1">
      <alignment horizontal="center" vertical="center"/>
    </xf>
    <xf numFmtId="2" fontId="25" fillId="0" borderId="56" xfId="0" applyNumberFormat="1" applyFont="1" applyBorder="1" applyAlignment="1">
      <alignment horizontal="center" vertical="center"/>
    </xf>
    <xf numFmtId="2" fontId="25" fillId="0" borderId="57" xfId="0" applyNumberFormat="1" applyFont="1" applyBorder="1" applyAlignment="1">
      <alignment horizontal="center" vertical="center"/>
    </xf>
    <xf numFmtId="0" fontId="25" fillId="0" borderId="61" xfId="0" applyFont="1" applyBorder="1" applyAlignment="1">
      <alignment horizontal="center" vertical="center"/>
    </xf>
    <xf numFmtId="2" fontId="25" fillId="0" borderId="59" xfId="0" applyNumberFormat="1" applyFont="1" applyBorder="1" applyAlignment="1">
      <alignment horizontal="center" vertical="center"/>
    </xf>
    <xf numFmtId="2" fontId="25" fillId="0" borderId="60" xfId="0" applyNumberFormat="1" applyFont="1" applyBorder="1" applyAlignment="1">
      <alignment horizontal="center" vertical="center"/>
    </xf>
    <xf numFmtId="0" fontId="25" fillId="0" borderId="64" xfId="0" applyFont="1" applyBorder="1" applyAlignment="1">
      <alignment horizontal="center" vertical="center"/>
    </xf>
    <xf numFmtId="2" fontId="25" fillId="0" borderId="62" xfId="0" applyNumberFormat="1" applyFont="1" applyBorder="1" applyAlignment="1">
      <alignment horizontal="center" vertical="center"/>
    </xf>
    <xf numFmtId="2" fontId="25" fillId="0" borderId="63" xfId="0" applyNumberFormat="1" applyFont="1" applyBorder="1" applyAlignment="1">
      <alignment horizontal="center" vertical="center"/>
    </xf>
    <xf numFmtId="0" fontId="25" fillId="0" borderId="67" xfId="0" applyFont="1" applyBorder="1" applyAlignment="1">
      <alignment horizontal="center" vertical="center"/>
    </xf>
    <xf numFmtId="2" fontId="25" fillId="0" borderId="65" xfId="0" applyNumberFormat="1" applyFont="1" applyBorder="1" applyAlignment="1">
      <alignment horizontal="center" vertical="center"/>
    </xf>
    <xf numFmtId="2" fontId="25" fillId="0" borderId="66" xfId="0" applyNumberFormat="1" applyFont="1" applyBorder="1" applyAlignment="1">
      <alignment horizontal="center" vertical="center"/>
    </xf>
    <xf numFmtId="0" fontId="25" fillId="0" borderId="70" xfId="0" applyFont="1" applyBorder="1" applyAlignment="1">
      <alignment horizontal="center" vertical="center"/>
    </xf>
    <xf numFmtId="2" fontId="25" fillId="0" borderId="1" xfId="0" applyNumberFormat="1" applyFont="1" applyBorder="1" applyAlignment="1">
      <alignment horizontal="center" vertical="center"/>
    </xf>
    <xf numFmtId="2" fontId="25" fillId="0" borderId="4" xfId="0" applyNumberFormat="1" applyFont="1" applyBorder="1" applyAlignment="1">
      <alignment horizontal="center" vertical="center"/>
    </xf>
    <xf numFmtId="0" fontId="25" fillId="0" borderId="10" xfId="0" applyFont="1" applyBorder="1" applyAlignment="1">
      <alignment horizontal="center" vertical="center"/>
    </xf>
    <xf numFmtId="2" fontId="25" fillId="0" borderId="2" xfId="0" applyNumberFormat="1" applyFont="1" applyBorder="1" applyAlignment="1">
      <alignment horizontal="center" vertical="center"/>
    </xf>
    <xf numFmtId="2" fontId="25" fillId="0" borderId="6" xfId="0" applyNumberFormat="1" applyFont="1" applyBorder="1" applyAlignment="1">
      <alignment horizontal="center" vertical="center"/>
    </xf>
    <xf numFmtId="0" fontId="25" fillId="0" borderId="14" xfId="0" applyFont="1" applyBorder="1" applyAlignment="1">
      <alignment horizontal="center" vertical="center"/>
    </xf>
    <xf numFmtId="2" fontId="25" fillId="0" borderId="11" xfId="0" applyNumberFormat="1" applyFont="1" applyBorder="1" applyAlignment="1">
      <alignment horizontal="center" vertical="center"/>
    </xf>
    <xf numFmtId="2" fontId="25" fillId="0" borderId="43" xfId="0" applyNumberFormat="1" applyFont="1" applyBorder="1" applyAlignment="1">
      <alignment horizontal="center" vertical="center"/>
    </xf>
    <xf numFmtId="2" fontId="25" fillId="0" borderId="27" xfId="0" applyNumberFormat="1" applyFont="1" applyBorder="1" applyAlignment="1">
      <alignment horizontal="center" vertical="center"/>
    </xf>
    <xf numFmtId="2" fontId="25" fillId="0" borderId="8" xfId="0" applyNumberFormat="1" applyFont="1" applyBorder="1" applyAlignment="1">
      <alignment horizontal="center" vertical="center"/>
    </xf>
    <xf numFmtId="2" fontId="25" fillId="0" borderId="18" xfId="0" applyNumberFormat="1" applyFont="1" applyBorder="1" applyAlignment="1">
      <alignment horizontal="center" vertical="center"/>
    </xf>
    <xf numFmtId="2" fontId="25" fillId="0" borderId="72" xfId="0" applyNumberFormat="1" applyFont="1" applyBorder="1" applyAlignment="1">
      <alignment horizontal="center" vertical="center"/>
    </xf>
    <xf numFmtId="0" fontId="25" fillId="0" borderId="0" xfId="0" applyFont="1" applyAlignment="1">
      <alignment horizontal="left" vertical="center" wrapText="1"/>
    </xf>
    <xf numFmtId="0" fontId="25" fillId="0" borderId="74" xfId="0" applyFont="1" applyBorder="1" applyAlignment="1">
      <alignment horizontal="center" vertical="center"/>
    </xf>
    <xf numFmtId="0" fontId="25" fillId="0" borderId="78" xfId="0" applyFont="1" applyBorder="1" applyAlignment="1">
      <alignment horizontal="center" vertical="center"/>
    </xf>
    <xf numFmtId="2" fontId="25" fillId="0" borderId="77" xfId="0" applyNumberFormat="1" applyFont="1" applyBorder="1" applyAlignment="1">
      <alignment horizontal="center" vertical="center"/>
    </xf>
    <xf numFmtId="2" fontId="25" fillId="0" borderId="79" xfId="0" applyNumberFormat="1" applyFont="1" applyBorder="1" applyAlignment="1">
      <alignment horizontal="center" vertical="center"/>
    </xf>
    <xf numFmtId="169" fontId="14" fillId="0" borderId="2" xfId="6" applyNumberFormat="1" applyFont="1" applyBorder="1" applyAlignment="1">
      <alignment horizontal="center" vertical="center"/>
    </xf>
    <xf numFmtId="0" fontId="8" fillId="0" borderId="81" xfId="0" applyFont="1" applyBorder="1" applyAlignment="1">
      <alignment horizontal="center" vertical="center"/>
    </xf>
    <xf numFmtId="0" fontId="26" fillId="0" borderId="45" xfId="0" applyFont="1" applyBorder="1" applyAlignment="1">
      <alignment horizontal="center" vertical="center"/>
    </xf>
    <xf numFmtId="0" fontId="26" fillId="0" borderId="46" xfId="0" applyFont="1" applyBorder="1" applyAlignment="1">
      <alignment horizontal="center" vertical="center"/>
    </xf>
    <xf numFmtId="0" fontId="26" fillId="0" borderId="81" xfId="0" applyFont="1" applyBorder="1" applyAlignment="1">
      <alignment horizontal="center" vertical="center"/>
    </xf>
    <xf numFmtId="0" fontId="1" fillId="0" borderId="48" xfId="0" applyFont="1" applyBorder="1" applyAlignment="1">
      <alignment horizontal="center" vertical="center"/>
    </xf>
    <xf numFmtId="0" fontId="1" fillId="0" borderId="49" xfId="0" applyFont="1" applyBorder="1" applyAlignment="1">
      <alignment horizontal="center" vertical="center"/>
    </xf>
    <xf numFmtId="0" fontId="0" fillId="0" borderId="82" xfId="0" applyBorder="1" applyAlignment="1">
      <alignment horizontal="center" vertical="center" wrapText="1"/>
    </xf>
    <xf numFmtId="0" fontId="8" fillId="0" borderId="83" xfId="0" applyFont="1" applyBorder="1" applyAlignment="1">
      <alignment horizontal="center" vertical="center"/>
    </xf>
    <xf numFmtId="0" fontId="8" fillId="0" borderId="84" xfId="0" applyFont="1" applyBorder="1" applyAlignment="1">
      <alignment horizontal="center" vertical="center"/>
    </xf>
    <xf numFmtId="0" fontId="8" fillId="0" borderId="85" xfId="0" applyFont="1" applyBorder="1" applyAlignment="1">
      <alignment horizontal="center" vertical="center"/>
    </xf>
    <xf numFmtId="0" fontId="9" fillId="7" borderId="23" xfId="0" applyFont="1" applyFill="1" applyBorder="1" applyAlignment="1">
      <alignment horizontal="center" vertical="center"/>
    </xf>
    <xf numFmtId="0" fontId="0" fillId="0" borderId="42" xfId="0" applyBorder="1" applyAlignment="1">
      <alignment horizontal="center" vertical="center" wrapText="1"/>
    </xf>
    <xf numFmtId="0" fontId="39" fillId="0" borderId="0" xfId="0" applyFont="1"/>
    <xf numFmtId="0" fontId="15" fillId="9" borderId="0" xfId="0" applyFont="1" applyFill="1" applyAlignment="1">
      <alignment vertical="center"/>
    </xf>
    <xf numFmtId="0" fontId="9" fillId="7" borderId="90" xfId="0" applyFont="1" applyFill="1" applyBorder="1" applyAlignment="1">
      <alignment horizontal="center" vertical="center"/>
    </xf>
    <xf numFmtId="0" fontId="18" fillId="0" borderId="90" xfId="5" applyFont="1" applyBorder="1" applyAlignment="1">
      <alignment horizontal="center" vertical="center"/>
    </xf>
    <xf numFmtId="0" fontId="16" fillId="0" borderId="0" xfId="0" applyFont="1" applyAlignment="1">
      <alignment vertical="center" wrapText="1"/>
    </xf>
    <xf numFmtId="0" fontId="41" fillId="0" borderId="0" xfId="0" applyFont="1" applyAlignment="1">
      <alignment horizontal="center"/>
    </xf>
    <xf numFmtId="0" fontId="15" fillId="0" borderId="29" xfId="0" applyFont="1" applyBorder="1" applyAlignment="1">
      <alignment vertical="center"/>
    </xf>
    <xf numFmtId="0" fontId="34" fillId="0" borderId="29" xfId="0" applyFont="1" applyBorder="1" applyAlignment="1">
      <alignment vertical="center"/>
    </xf>
    <xf numFmtId="0" fontId="8" fillId="0" borderId="28" xfId="0" applyFont="1" applyBorder="1"/>
    <xf numFmtId="0" fontId="9" fillId="0" borderId="92" xfId="0" applyFont="1" applyBorder="1" applyAlignment="1">
      <alignment horizontal="center" vertical="center"/>
    </xf>
    <xf numFmtId="0" fontId="8" fillId="0" borderId="30" xfId="0" applyFont="1" applyBorder="1" applyAlignment="1">
      <alignment vertical="center"/>
    </xf>
    <xf numFmtId="10" fontId="8" fillId="0" borderId="90" xfId="0" applyNumberFormat="1" applyFont="1" applyBorder="1"/>
    <xf numFmtId="0" fontId="8" fillId="0" borderId="90" xfId="0" applyFont="1" applyBorder="1"/>
    <xf numFmtId="169" fontId="8" fillId="0" borderId="93" xfId="6" applyNumberFormat="1" applyFont="1" applyBorder="1" applyAlignment="1">
      <alignment horizontal="right" vertical="center"/>
    </xf>
    <xf numFmtId="169" fontId="8" fillId="0" borderId="94" xfId="6" applyNumberFormat="1" applyFont="1" applyBorder="1" applyAlignment="1">
      <alignment horizontal="right" vertical="center"/>
    </xf>
    <xf numFmtId="1" fontId="8" fillId="0" borderId="30" xfId="0" applyNumberFormat="1" applyFont="1" applyBorder="1" applyAlignment="1">
      <alignment horizontal="right"/>
    </xf>
    <xf numFmtId="0" fontId="8" fillId="0" borderId="30" xfId="0" applyFont="1" applyBorder="1" applyAlignment="1">
      <alignment horizontal="right"/>
    </xf>
    <xf numFmtId="0" fontId="8" fillId="0" borderId="28" xfId="0" applyFont="1" applyBorder="1" applyAlignment="1">
      <alignment horizontal="right"/>
    </xf>
    <xf numFmtId="0" fontId="9" fillId="2" borderId="0" xfId="0" applyFont="1" applyFill="1" applyAlignment="1">
      <alignment vertical="center"/>
    </xf>
    <xf numFmtId="0" fontId="23" fillId="0" borderId="0" xfId="0" applyFont="1" applyAlignment="1">
      <alignment vertical="center"/>
    </xf>
    <xf numFmtId="0" fontId="1" fillId="0" borderId="2" xfId="0" applyFont="1" applyBorder="1" applyAlignment="1">
      <alignment horizontal="left" vertical="center"/>
    </xf>
    <xf numFmtId="9" fontId="8" fillId="0" borderId="2" xfId="2" applyFont="1" applyBorder="1" applyAlignment="1">
      <alignment horizontal="center" vertical="center"/>
    </xf>
    <xf numFmtId="0" fontId="21" fillId="11" borderId="30" xfId="0" applyFont="1" applyFill="1" applyBorder="1" applyAlignment="1">
      <alignment horizontal="center" vertical="center"/>
    </xf>
    <xf numFmtId="0" fontId="8" fillId="0" borderId="3" xfId="0" applyFont="1" applyBorder="1" applyAlignment="1">
      <alignment horizontal="left" vertical="center" wrapText="1"/>
    </xf>
    <xf numFmtId="0" fontId="21" fillId="12" borderId="90" xfId="0" applyFont="1" applyFill="1" applyBorder="1" applyAlignment="1">
      <alignment horizontal="center" vertical="center"/>
    </xf>
    <xf numFmtId="9" fontId="8" fillId="0" borderId="90" xfId="2" applyFont="1" applyBorder="1" applyAlignment="1">
      <alignment horizontal="center" vertical="center"/>
    </xf>
    <xf numFmtId="0" fontId="9" fillId="0" borderId="90" xfId="0" applyFont="1" applyBorder="1" applyAlignment="1">
      <alignment horizontal="left" vertical="center"/>
    </xf>
    <xf numFmtId="0" fontId="9" fillId="0" borderId="90" xfId="0" applyFont="1" applyBorder="1" applyAlignment="1">
      <alignment horizontal="center" vertical="center"/>
    </xf>
    <xf numFmtId="0" fontId="8" fillId="0" borderId="96" xfId="0" applyFont="1" applyBorder="1"/>
    <xf numFmtId="0" fontId="43" fillId="0" borderId="0" xfId="0" applyFont="1" applyAlignment="1">
      <alignment vertical="center"/>
    </xf>
    <xf numFmtId="0" fontId="26" fillId="0" borderId="35" xfId="0" applyFont="1" applyBorder="1" applyAlignment="1">
      <alignment horizontal="center" vertical="center" wrapText="1"/>
    </xf>
    <xf numFmtId="0" fontId="26" fillId="4" borderId="100" xfId="0" applyFont="1" applyFill="1" applyBorder="1" applyAlignment="1">
      <alignment horizontal="center" vertical="center" wrapText="1"/>
    </xf>
    <xf numFmtId="0" fontId="26" fillId="4" borderId="91" xfId="0" applyFont="1" applyFill="1" applyBorder="1" applyAlignment="1">
      <alignment horizontal="center" vertical="center" wrapText="1"/>
    </xf>
    <xf numFmtId="0" fontId="26" fillId="4" borderId="89" xfId="0" applyFont="1" applyFill="1" applyBorder="1" applyAlignment="1">
      <alignment horizontal="center" vertical="center" wrapText="1"/>
    </xf>
    <xf numFmtId="0" fontId="26" fillId="4" borderId="35" xfId="0" applyFont="1" applyFill="1" applyBorder="1" applyAlignment="1">
      <alignment horizontal="center" vertical="center" wrapText="1"/>
    </xf>
    <xf numFmtId="0" fontId="8" fillId="15" borderId="22" xfId="0" applyFont="1" applyFill="1" applyBorder="1" applyAlignment="1">
      <alignment horizontal="center" vertical="center"/>
    </xf>
    <xf numFmtId="0" fontId="1" fillId="15" borderId="22" xfId="0" applyFont="1" applyFill="1" applyBorder="1" applyAlignment="1">
      <alignment horizontal="center" vertical="center"/>
    </xf>
    <xf numFmtId="0" fontId="8" fillId="3" borderId="22" xfId="0" applyFont="1" applyFill="1" applyBorder="1" applyAlignment="1">
      <alignment horizontal="center" vertical="center"/>
    </xf>
    <xf numFmtId="0" fontId="8" fillId="5" borderId="25" xfId="0" applyFont="1" applyFill="1" applyBorder="1" applyAlignment="1">
      <alignment horizontal="center" vertical="center"/>
    </xf>
    <xf numFmtId="0" fontId="8" fillId="8" borderId="22" xfId="0" applyFont="1" applyFill="1" applyBorder="1" applyAlignment="1">
      <alignment horizontal="center" vertical="center"/>
    </xf>
    <xf numFmtId="0" fontId="8" fillId="8" borderId="22" xfId="0" applyFont="1" applyFill="1" applyBorder="1" applyAlignment="1">
      <alignment horizontal="center" vertical="center" wrapText="1"/>
    </xf>
    <xf numFmtId="0" fontId="1" fillId="8" borderId="22" xfId="0" applyFont="1" applyFill="1" applyBorder="1" applyAlignment="1">
      <alignment horizontal="center" vertical="center"/>
    </xf>
    <xf numFmtId="2" fontId="8" fillId="8" borderId="24" xfId="0" applyNumberFormat="1" applyFont="1" applyFill="1" applyBorder="1" applyAlignment="1">
      <alignment horizontal="center" vertical="center"/>
    </xf>
    <xf numFmtId="2" fontId="8" fillId="8" borderId="22" xfId="0" applyNumberFormat="1" applyFont="1" applyFill="1" applyBorder="1" applyAlignment="1">
      <alignment horizontal="center" vertical="center"/>
    </xf>
    <xf numFmtId="0" fontId="8" fillId="5" borderId="22" xfId="0" applyFont="1" applyFill="1" applyBorder="1" applyAlignment="1">
      <alignment horizontal="center" vertical="center"/>
    </xf>
    <xf numFmtId="0" fontId="1" fillId="5" borderId="22" xfId="0" applyFont="1" applyFill="1" applyBorder="1" applyAlignment="1">
      <alignment horizontal="center" vertical="center"/>
    </xf>
    <xf numFmtId="0" fontId="8" fillId="5" borderId="26" xfId="0" applyFont="1" applyFill="1" applyBorder="1" applyAlignment="1">
      <alignment horizontal="center" vertical="center"/>
    </xf>
    <xf numFmtId="0" fontId="8" fillId="3" borderId="26" xfId="0" applyFont="1" applyFill="1" applyBorder="1" applyAlignment="1">
      <alignment horizontal="center" vertical="center"/>
    </xf>
    <xf numFmtId="0" fontId="1" fillId="3" borderId="22" xfId="0" applyFont="1" applyFill="1" applyBorder="1" applyAlignment="1">
      <alignment horizontal="center" vertical="center"/>
    </xf>
    <xf numFmtId="0" fontId="1" fillId="15" borderId="26" xfId="0" applyFont="1" applyFill="1" applyBorder="1" applyAlignment="1">
      <alignment horizontal="center" vertical="center"/>
    </xf>
    <xf numFmtId="0" fontId="10" fillId="0" borderId="0" xfId="5"/>
    <xf numFmtId="0" fontId="8" fillId="0" borderId="90" xfId="0" applyFont="1" applyBorder="1" applyAlignment="1">
      <alignment horizontal="center" vertical="center" wrapText="1"/>
    </xf>
    <xf numFmtId="0" fontId="9" fillId="7" borderId="90" xfId="0" applyFont="1" applyFill="1" applyBorder="1" applyAlignment="1">
      <alignment horizontal="center" vertical="center" wrapText="1"/>
    </xf>
    <xf numFmtId="0" fontId="12" fillId="0" borderId="2" xfId="3" applyFont="1" applyBorder="1" applyAlignment="1">
      <alignment horizontal="center" vertical="center" wrapText="1"/>
    </xf>
    <xf numFmtId="0" fontId="12" fillId="0" borderId="0" xfId="3" applyFont="1" applyBorder="1" applyAlignment="1">
      <alignment horizontal="center" vertical="center" wrapText="1"/>
    </xf>
    <xf numFmtId="3" fontId="14" fillId="0" borderId="0" xfId="0" applyNumberFormat="1" applyFont="1" applyAlignment="1">
      <alignment horizontal="center" vertical="center"/>
    </xf>
    <xf numFmtId="169" fontId="14" fillId="0" borderId="0" xfId="6" applyNumberFormat="1" applyFont="1" applyBorder="1" applyAlignment="1">
      <alignment horizontal="center" vertical="center"/>
    </xf>
    <xf numFmtId="0" fontId="26" fillId="47" borderId="14" xfId="0" applyFont="1" applyFill="1" applyBorder="1" applyAlignment="1">
      <alignment horizontal="left" vertical="center" wrapText="1"/>
    </xf>
    <xf numFmtId="0" fontId="26" fillId="47" borderId="17" xfId="0" applyFont="1" applyFill="1" applyBorder="1" applyAlignment="1">
      <alignment horizontal="left" vertical="center" wrapText="1"/>
    </xf>
    <xf numFmtId="0" fontId="26" fillId="47" borderId="21" xfId="0" applyFont="1" applyFill="1" applyBorder="1" applyAlignment="1">
      <alignment horizontal="left" vertical="center" wrapText="1"/>
    </xf>
    <xf numFmtId="0" fontId="26" fillId="47" borderId="15" xfId="0" applyFont="1" applyFill="1" applyBorder="1" applyAlignment="1">
      <alignment wrapText="1"/>
    </xf>
    <xf numFmtId="0" fontId="26" fillId="47" borderId="18" xfId="0" applyFont="1" applyFill="1" applyBorder="1" applyAlignment="1">
      <alignment wrapText="1"/>
    </xf>
    <xf numFmtId="0" fontId="26" fillId="47" borderId="17" xfId="0" applyFont="1" applyFill="1" applyBorder="1" applyAlignment="1">
      <alignment wrapText="1"/>
    </xf>
    <xf numFmtId="0" fontId="26" fillId="47" borderId="21" xfId="0" applyFont="1" applyFill="1" applyBorder="1" applyAlignment="1">
      <alignment wrapText="1"/>
    </xf>
    <xf numFmtId="0" fontId="26" fillId="48" borderId="0" xfId="0" applyFont="1" applyFill="1" applyAlignment="1">
      <alignment vertical="center"/>
    </xf>
    <xf numFmtId="0" fontId="26" fillId="48" borderId="0" xfId="0" applyFont="1" applyFill="1" applyAlignment="1">
      <alignment wrapText="1"/>
    </xf>
    <xf numFmtId="0" fontId="41" fillId="48" borderId="0" xfId="0" applyFont="1" applyFill="1"/>
    <xf numFmtId="0" fontId="26" fillId="13" borderId="2" xfId="0" applyFont="1" applyFill="1" applyBorder="1"/>
    <xf numFmtId="0" fontId="26" fillId="13" borderId="117" xfId="0" applyFont="1" applyFill="1" applyBorder="1" applyAlignment="1">
      <alignment horizontal="left" vertical="center" wrapText="1"/>
    </xf>
    <xf numFmtId="0" fontId="26" fillId="13" borderId="118" xfId="0" applyFont="1" applyFill="1" applyBorder="1" applyAlignment="1">
      <alignment horizontal="left" vertical="center" wrapText="1"/>
    </xf>
    <xf numFmtId="0" fontId="26" fillId="13" borderId="119" xfId="0" applyFont="1" applyFill="1" applyBorder="1" applyAlignment="1">
      <alignment horizontal="left" vertical="center" wrapText="1"/>
    </xf>
    <xf numFmtId="0" fontId="26" fillId="13" borderId="120" xfId="0" applyFont="1" applyFill="1" applyBorder="1" applyAlignment="1">
      <alignment horizontal="left" vertical="center" wrapText="1"/>
    </xf>
    <xf numFmtId="0" fontId="26" fillId="13" borderId="11" xfId="0" applyFont="1" applyFill="1" applyBorder="1" applyAlignment="1">
      <alignment wrapText="1"/>
    </xf>
    <xf numFmtId="0" fontId="26" fillId="13" borderId="15" xfId="0" applyFont="1" applyFill="1" applyBorder="1" applyAlignment="1">
      <alignment wrapText="1"/>
    </xf>
    <xf numFmtId="0" fontId="26" fillId="13" borderId="18" xfId="0" applyFont="1" applyFill="1" applyBorder="1" applyAlignment="1">
      <alignment wrapText="1"/>
    </xf>
    <xf numFmtId="0" fontId="56" fillId="49" borderId="18" xfId="0" applyFont="1" applyFill="1" applyBorder="1" applyAlignment="1">
      <alignment wrapText="1"/>
    </xf>
    <xf numFmtId="0" fontId="57" fillId="49" borderId="18" xfId="0" applyFont="1" applyFill="1" applyBorder="1" applyAlignment="1">
      <alignment wrapText="1"/>
    </xf>
    <xf numFmtId="0" fontId="26" fillId="49" borderId="2" xfId="0" applyFont="1" applyFill="1" applyBorder="1" applyAlignment="1">
      <alignment wrapText="1"/>
    </xf>
    <xf numFmtId="2" fontId="40" fillId="0" borderId="63" xfId="0" applyNumberFormat="1" applyFont="1" applyBorder="1" applyAlignment="1">
      <alignment horizontal="center" vertical="center"/>
    </xf>
    <xf numFmtId="2" fontId="40" fillId="0" borderId="53" xfId="0" applyNumberFormat="1" applyFont="1" applyBorder="1" applyAlignment="1">
      <alignment horizontal="center" vertical="center"/>
    </xf>
    <xf numFmtId="0" fontId="9" fillId="5" borderId="92" xfId="0" applyFont="1" applyFill="1" applyBorder="1" applyAlignment="1">
      <alignment horizontal="center" vertical="center"/>
    </xf>
    <xf numFmtId="0" fontId="25" fillId="0" borderId="0" xfId="0" applyFont="1" applyAlignment="1">
      <alignment horizontal="left" vertical="center"/>
    </xf>
    <xf numFmtId="2" fontId="40" fillId="0" borderId="62" xfId="0" applyNumberFormat="1" applyFont="1" applyBorder="1" applyAlignment="1">
      <alignment horizontal="center" vertical="center"/>
    </xf>
    <xf numFmtId="2" fontId="62" fillId="0" borderId="65" xfId="0" applyNumberFormat="1" applyFont="1" applyBorder="1" applyAlignment="1">
      <alignment horizontal="center" vertical="center"/>
    </xf>
    <xf numFmtId="2" fontId="40" fillId="0" borderId="54" xfId="0" applyNumberFormat="1" applyFont="1" applyBorder="1" applyAlignment="1">
      <alignment horizontal="center" vertical="center"/>
    </xf>
    <xf numFmtId="2" fontId="62" fillId="0" borderId="53" xfId="0" applyNumberFormat="1" applyFont="1" applyBorder="1" applyAlignment="1">
      <alignment horizontal="center" vertical="center"/>
    </xf>
    <xf numFmtId="0" fontId="35" fillId="0" borderId="0" xfId="0" applyFont="1" applyAlignment="1">
      <alignment horizontal="left"/>
    </xf>
    <xf numFmtId="2" fontId="40" fillId="0" borderId="57" xfId="0" applyNumberFormat="1" applyFont="1" applyBorder="1" applyAlignment="1">
      <alignment horizontal="center" vertical="center"/>
    </xf>
    <xf numFmtId="0" fontId="9" fillId="0" borderId="0" xfId="0" applyFont="1" applyAlignment="1">
      <alignment horizontal="left" vertical="center"/>
    </xf>
    <xf numFmtId="0" fontId="35" fillId="0" borderId="0" xfId="0" applyFont="1"/>
    <xf numFmtId="2" fontId="40" fillId="0" borderId="56" xfId="0" applyNumberFormat="1" applyFont="1" applyBorder="1" applyAlignment="1">
      <alignment horizontal="center" vertical="center"/>
    </xf>
    <xf numFmtId="2" fontId="40" fillId="0" borderId="75" xfId="0" applyNumberFormat="1" applyFont="1" applyBorder="1" applyAlignment="1">
      <alignment horizontal="center" vertical="center"/>
    </xf>
    <xf numFmtId="2" fontId="40" fillId="0" borderId="73" xfId="0" applyNumberFormat="1" applyFont="1" applyBorder="1" applyAlignment="1">
      <alignment horizontal="center" vertical="center"/>
    </xf>
    <xf numFmtId="0" fontId="63" fillId="0" borderId="0" xfId="0" applyFont="1"/>
    <xf numFmtId="0" fontId="26" fillId="0" borderId="2" xfId="0" applyFont="1" applyBorder="1" applyAlignment="1">
      <alignment horizontal="center" vertical="center" wrapText="1"/>
    </xf>
    <xf numFmtId="0" fontId="26" fillId="0" borderId="15" xfId="0" applyFont="1" applyBorder="1" applyAlignment="1">
      <alignment horizontal="left" vertical="center" wrapText="1"/>
    </xf>
    <xf numFmtId="0" fontId="56" fillId="0" borderId="18" xfId="0" applyFont="1" applyBorder="1" applyAlignment="1">
      <alignment horizontal="left" vertical="center" wrapText="1"/>
    </xf>
    <xf numFmtId="0" fontId="57" fillId="0" borderId="18" xfId="0" applyFont="1" applyBorder="1" applyAlignment="1">
      <alignment horizontal="left" vertical="center" wrapText="1"/>
    </xf>
    <xf numFmtId="0" fontId="26" fillId="0" borderId="2" xfId="0" applyFont="1" applyBorder="1" applyAlignment="1">
      <alignment horizontal="left" vertical="center" wrapText="1"/>
    </xf>
    <xf numFmtId="0" fontId="14" fillId="0" borderId="2" xfId="0" applyFont="1" applyBorder="1" applyAlignment="1">
      <alignment horizontal="center" vertical="center" wrapText="1"/>
    </xf>
    <xf numFmtId="170" fontId="64" fillId="0" borderId="0" xfId="0" applyNumberFormat="1" applyFont="1" applyAlignment="1">
      <alignment vertical="center"/>
    </xf>
    <xf numFmtId="0" fontId="33" fillId="0" borderId="0" xfId="0" applyFont="1" applyAlignment="1">
      <alignment vertical="center"/>
    </xf>
    <xf numFmtId="170" fontId="1" fillId="0" borderId="0" xfId="0" applyNumberFormat="1" applyFont="1"/>
    <xf numFmtId="0" fontId="17" fillId="0" borderId="0" xfId="0" applyFont="1"/>
    <xf numFmtId="0" fontId="17" fillId="0" borderId="0" xfId="0" applyFont="1" applyAlignment="1">
      <alignment wrapText="1"/>
    </xf>
    <xf numFmtId="0" fontId="17" fillId="0" borderId="0" xfId="0" applyFont="1" applyAlignment="1">
      <alignment horizontal="left"/>
    </xf>
    <xf numFmtId="0" fontId="17" fillId="0" borderId="0" xfId="0" applyFont="1" applyAlignment="1">
      <alignment horizontal="center"/>
    </xf>
    <xf numFmtId="0" fontId="30" fillId="0" borderId="0" xfId="0" applyFont="1"/>
    <xf numFmtId="0" fontId="14" fillId="0" borderId="123" xfId="0" applyFont="1" applyBorder="1"/>
    <xf numFmtId="0" fontId="14" fillId="0" borderId="124" xfId="0" applyFont="1" applyBorder="1"/>
    <xf numFmtId="0" fontId="14" fillId="0" borderId="124" xfId="0" applyFont="1" applyBorder="1" applyAlignment="1">
      <alignment horizontal="center"/>
    </xf>
    <xf numFmtId="0" fontId="0" fillId="0" borderId="68" xfId="0" applyBorder="1"/>
    <xf numFmtId="0" fontId="14" fillId="0" borderId="68" xfId="0" applyFont="1" applyBorder="1"/>
    <xf numFmtId="0" fontId="14" fillId="0" borderId="69" xfId="0" applyFont="1" applyBorder="1"/>
    <xf numFmtId="0" fontId="14" fillId="0" borderId="69" xfId="0" applyFont="1" applyBorder="1" applyAlignment="1">
      <alignment horizontal="center"/>
    </xf>
    <xf numFmtId="0" fontId="14" fillId="0" borderId="126" xfId="0" applyFont="1" applyBorder="1"/>
    <xf numFmtId="0" fontId="14" fillId="0" borderId="127" xfId="0" applyFont="1" applyBorder="1" applyAlignment="1">
      <alignment wrapText="1"/>
    </xf>
    <xf numFmtId="0" fontId="14" fillId="0" borderId="127" xfId="0" applyFont="1" applyBorder="1"/>
    <xf numFmtId="0" fontId="14" fillId="0" borderId="128" xfId="0" applyFont="1" applyBorder="1" applyAlignment="1">
      <alignment horizontal="center"/>
    </xf>
    <xf numFmtId="0" fontId="14" fillId="0" borderId="125" xfId="0" applyFont="1" applyBorder="1"/>
    <xf numFmtId="9" fontId="14" fillId="0" borderId="69" xfId="2" applyFont="1" applyBorder="1"/>
    <xf numFmtId="0" fontId="14" fillId="0" borderId="128" xfId="0" applyFont="1" applyBorder="1"/>
    <xf numFmtId="0" fontId="9" fillId="0" borderId="0" xfId="0" applyFont="1" applyAlignment="1">
      <alignment wrapText="1"/>
    </xf>
    <xf numFmtId="0" fontId="9" fillId="0" borderId="0" xfId="0" applyFont="1" applyAlignment="1">
      <alignment horizontal="left"/>
    </xf>
    <xf numFmtId="0" fontId="9" fillId="0" borderId="0" xfId="0" applyFont="1" applyAlignment="1">
      <alignment horizontal="center"/>
    </xf>
    <xf numFmtId="168" fontId="8" fillId="0" borderId="2" xfId="0" applyNumberFormat="1" applyFont="1" applyBorder="1" applyAlignment="1">
      <alignment horizontal="center"/>
    </xf>
    <xf numFmtId="0" fontId="9" fillId="0" borderId="2" xfId="0" applyFont="1" applyBorder="1" applyAlignment="1">
      <alignment horizontal="left"/>
    </xf>
    <xf numFmtId="168" fontId="8" fillId="0" borderId="0" xfId="0" applyNumberFormat="1" applyFont="1" applyAlignment="1">
      <alignment horizontal="center" vertical="center"/>
    </xf>
    <xf numFmtId="0" fontId="23" fillId="0" borderId="0" xfId="0" applyFont="1" applyAlignment="1">
      <alignment horizontal="center" vertical="center" wrapText="1"/>
    </xf>
    <xf numFmtId="9" fontId="8" fillId="4" borderId="0" xfId="0" applyNumberFormat="1" applyFont="1" applyFill="1"/>
    <xf numFmtId="0" fontId="8" fillId="4" borderId="0" xfId="0" applyFont="1" applyFill="1" applyAlignment="1">
      <alignment vertical="center"/>
    </xf>
    <xf numFmtId="0" fontId="9" fillId="7" borderId="50" xfId="0" applyFont="1" applyFill="1" applyBorder="1" applyAlignment="1">
      <alignment horizontal="center" vertical="center"/>
    </xf>
    <xf numFmtId="0" fontId="8" fillId="0" borderId="50" xfId="0" applyFont="1" applyBorder="1" applyAlignment="1">
      <alignment vertical="center" wrapText="1"/>
    </xf>
    <xf numFmtId="0" fontId="27" fillId="7" borderId="50" xfId="0" applyFont="1" applyFill="1" applyBorder="1" applyAlignment="1">
      <alignment horizontal="left" vertical="center" wrapText="1"/>
    </xf>
    <xf numFmtId="0" fontId="27" fillId="7" borderId="50" xfId="0" applyFont="1" applyFill="1" applyBorder="1" applyAlignment="1">
      <alignment horizontal="center" vertical="center" wrapText="1"/>
    </xf>
    <xf numFmtId="0" fontId="8" fillId="0" borderId="50" xfId="0" applyFont="1" applyBorder="1" applyAlignment="1">
      <alignment vertical="center"/>
    </xf>
    <xf numFmtId="0" fontId="8" fillId="0" borderId="50" xfId="0" applyFont="1" applyBorder="1" applyAlignment="1">
      <alignment horizontal="right" vertical="center"/>
    </xf>
    <xf numFmtId="170" fontId="8" fillId="0" borderId="50" xfId="0" applyNumberFormat="1" applyFont="1" applyBorder="1" applyAlignment="1">
      <alignment vertical="center"/>
    </xf>
    <xf numFmtId="169" fontId="8" fillId="0" borderId="50" xfId="6" applyNumberFormat="1" applyFont="1" applyBorder="1" applyAlignment="1">
      <alignment horizontal="right" vertical="center" wrapText="1"/>
    </xf>
    <xf numFmtId="169" fontId="8" fillId="0" borderId="50" xfId="6" applyNumberFormat="1" applyFont="1" applyBorder="1" applyAlignment="1">
      <alignment horizontal="right" vertical="center"/>
    </xf>
    <xf numFmtId="170" fontId="1" fillId="0" borderId="50" xfId="0" applyNumberFormat="1" applyFont="1" applyBorder="1" applyAlignment="1">
      <alignment vertical="center"/>
    </xf>
    <xf numFmtId="170" fontId="64" fillId="8" borderId="50" xfId="0" applyNumberFormat="1" applyFont="1" applyFill="1" applyBorder="1" applyAlignment="1">
      <alignment vertical="center"/>
    </xf>
    <xf numFmtId="3" fontId="8" fillId="0" borderId="50" xfId="0" applyNumberFormat="1" applyFont="1" applyBorder="1" applyAlignment="1">
      <alignment horizontal="center" vertical="center"/>
    </xf>
    <xf numFmtId="0" fontId="9" fillId="7" borderId="50" xfId="0" applyFont="1" applyFill="1" applyBorder="1" applyAlignment="1">
      <alignment horizontal="center" vertical="center" wrapText="1"/>
    </xf>
    <xf numFmtId="1" fontId="8" fillId="0" borderId="50" xfId="0" applyNumberFormat="1" applyFont="1" applyBorder="1" applyAlignment="1">
      <alignment horizontal="center" vertical="center" wrapText="1"/>
    </xf>
    <xf numFmtId="169" fontId="8" fillId="0" borderId="50" xfId="6" applyNumberFormat="1" applyFont="1" applyBorder="1" applyAlignment="1">
      <alignment horizontal="center" vertical="center"/>
    </xf>
    <xf numFmtId="169" fontId="8" fillId="0" borderId="50" xfId="6" applyNumberFormat="1" applyFont="1" applyBorder="1" applyAlignment="1">
      <alignment horizontal="center" vertical="center" wrapText="1"/>
    </xf>
    <xf numFmtId="2" fontId="8" fillId="0" borderId="50" xfId="6" applyNumberFormat="1" applyFont="1" applyFill="1" applyBorder="1" applyAlignment="1">
      <alignment horizontal="center" vertical="center"/>
    </xf>
    <xf numFmtId="2" fontId="8" fillId="0" borderId="50" xfId="6" applyNumberFormat="1" applyFont="1" applyBorder="1" applyAlignment="1">
      <alignment horizontal="center" vertical="center"/>
    </xf>
    <xf numFmtId="43" fontId="8" fillId="0" borderId="50" xfId="0" applyNumberFormat="1" applyFont="1" applyBorder="1"/>
    <xf numFmtId="2" fontId="1" fillId="0" borderId="50" xfId="6" applyNumberFormat="1" applyFont="1" applyBorder="1" applyAlignment="1">
      <alignment horizontal="center" vertical="center"/>
    </xf>
    <xf numFmtId="1" fontId="8" fillId="0" borderId="50" xfId="0" applyNumberFormat="1" applyFont="1" applyBorder="1" applyAlignment="1">
      <alignment horizontal="center" vertical="center"/>
    </xf>
    <xf numFmtId="0" fontId="21" fillId="7" borderId="50" xfId="0" applyFont="1" applyFill="1" applyBorder="1" applyAlignment="1">
      <alignment vertical="center" wrapText="1"/>
    </xf>
    <xf numFmtId="169" fontId="8" fillId="0" borderId="50" xfId="0" applyNumberFormat="1" applyFont="1" applyBorder="1" applyAlignment="1">
      <alignment horizontal="center" vertical="center"/>
    </xf>
    <xf numFmtId="169" fontId="8" fillId="0" borderId="50" xfId="0" applyNumberFormat="1" applyFont="1" applyBorder="1" applyAlignment="1">
      <alignment horizontal="right" vertical="center"/>
    </xf>
    <xf numFmtId="1" fontId="8" fillId="0" borderId="50" xfId="0" applyNumberFormat="1" applyFont="1" applyBorder="1" applyAlignment="1">
      <alignment horizontal="right" vertical="center"/>
    </xf>
    <xf numFmtId="43" fontId="8" fillId="4" borderId="50" xfId="0" applyNumberFormat="1" applyFont="1" applyFill="1" applyBorder="1" applyAlignment="1">
      <alignment horizontal="right" vertical="center"/>
    </xf>
    <xf numFmtId="0" fontId="8" fillId="4" borderId="50" xfId="0" applyFont="1" applyFill="1" applyBorder="1" applyAlignment="1">
      <alignment horizontal="left" vertical="center"/>
    </xf>
    <xf numFmtId="0" fontId="27" fillId="13" borderId="50" xfId="0" applyFont="1" applyFill="1" applyBorder="1" applyAlignment="1">
      <alignment horizontal="center" vertical="center" wrapText="1"/>
    </xf>
    <xf numFmtId="0" fontId="12" fillId="0" borderId="50" xfId="3" applyFont="1" applyBorder="1" applyAlignment="1">
      <alignment horizontal="center" vertical="center" wrapText="1"/>
    </xf>
    <xf numFmtId="165" fontId="8" fillId="0" borderId="50" xfId="0" quotePrefix="1" applyNumberFormat="1" applyFont="1" applyBorder="1" applyAlignment="1">
      <alignment horizontal="center" vertical="center"/>
    </xf>
    <xf numFmtId="165" fontId="8" fillId="0" borderId="50" xfId="0" applyNumberFormat="1" applyFont="1" applyBorder="1" applyAlignment="1">
      <alignment horizontal="center" vertical="center"/>
    </xf>
    <xf numFmtId="0" fontId="19" fillId="0" borderId="0" xfId="0" applyFont="1"/>
    <xf numFmtId="168" fontId="9" fillId="0" borderId="0" xfId="0" applyNumberFormat="1" applyFont="1" applyAlignment="1">
      <alignment horizontal="center"/>
    </xf>
    <xf numFmtId="168" fontId="9" fillId="0" borderId="2" xfId="0" applyNumberFormat="1" applyFont="1" applyBorder="1" applyAlignment="1">
      <alignment horizontal="center"/>
    </xf>
    <xf numFmtId="0" fontId="1" fillId="8" borderId="22" xfId="0" applyFont="1" applyFill="1" applyBorder="1" applyAlignment="1">
      <alignment horizontal="center" vertical="center" wrapText="1"/>
    </xf>
    <xf numFmtId="168" fontId="1" fillId="8" borderId="25" xfId="0" applyNumberFormat="1" applyFont="1" applyFill="1" applyBorder="1" applyAlignment="1">
      <alignment horizontal="center" vertical="center"/>
    </xf>
    <xf numFmtId="165" fontId="8" fillId="0" borderId="90" xfId="0" applyNumberFormat="1" applyFont="1" applyBorder="1" applyAlignment="1">
      <alignment horizontal="center" vertical="center"/>
    </xf>
    <xf numFmtId="0" fontId="9" fillId="13" borderId="107" xfId="0" applyFont="1" applyFill="1" applyBorder="1" applyAlignment="1">
      <alignment horizontal="center" vertical="center" wrapText="1"/>
    </xf>
    <xf numFmtId="0" fontId="9" fillId="13" borderId="107" xfId="0" applyFont="1" applyFill="1" applyBorder="1" applyAlignment="1">
      <alignment horizontal="center" vertical="center"/>
    </xf>
    <xf numFmtId="0" fontId="0" fillId="0" borderId="90" xfId="0" applyBorder="1" applyAlignment="1">
      <alignment horizontal="center" vertical="center" wrapText="1"/>
    </xf>
    <xf numFmtId="0" fontId="8" fillId="0" borderId="2" xfId="0" applyFont="1" applyBorder="1" applyAlignment="1">
      <alignment horizontal="left" vertical="center" wrapText="1"/>
    </xf>
    <xf numFmtId="1" fontId="8" fillId="0" borderId="0" xfId="0" applyNumberFormat="1" applyFont="1" applyAlignment="1">
      <alignment horizontal="left"/>
    </xf>
    <xf numFmtId="9" fontId="8" fillId="0" borderId="50" xfId="0" applyNumberFormat="1" applyFont="1" applyBorder="1" applyAlignment="1">
      <alignment horizontal="center"/>
    </xf>
    <xf numFmtId="0" fontId="8" fillId="0" borderId="50" xfId="4" applyBorder="1" applyAlignment="1">
      <alignment horizontal="center" vertical="center"/>
    </xf>
    <xf numFmtId="0" fontId="1" fillId="0" borderId="50" xfId="0" applyFont="1" applyBorder="1" applyAlignment="1">
      <alignment horizontal="center" vertical="center"/>
    </xf>
    <xf numFmtId="164" fontId="8" fillId="0" borderId="28" xfId="7" applyNumberFormat="1" applyFont="1" applyBorder="1" applyAlignment="1">
      <alignment horizontal="center" vertical="center"/>
    </xf>
    <xf numFmtId="164" fontId="12" fillId="0" borderId="2" xfId="3" applyNumberFormat="1" applyFont="1" applyBorder="1" applyAlignment="1">
      <alignment horizontal="center" vertical="center" wrapText="1"/>
    </xf>
    <xf numFmtId="0" fontId="9" fillId="7" borderId="12" xfId="0" applyFont="1" applyFill="1" applyBorder="1" applyAlignment="1">
      <alignment horizontal="center" vertical="center" wrapText="1"/>
    </xf>
    <xf numFmtId="0" fontId="9" fillId="7" borderId="16" xfId="0" applyFont="1" applyFill="1" applyBorder="1" applyAlignment="1">
      <alignment horizontal="center" vertical="center" wrapText="1"/>
    </xf>
    <xf numFmtId="0" fontId="9" fillId="7" borderId="15" xfId="0" applyFont="1" applyFill="1" applyBorder="1" applyAlignment="1">
      <alignment horizontal="center" vertical="center" wrapText="1"/>
    </xf>
    <xf numFmtId="0" fontId="8" fillId="0" borderId="50" xfId="0" applyFont="1" applyBorder="1"/>
    <xf numFmtId="0" fontId="9" fillId="13" borderId="50" xfId="0" applyFont="1" applyFill="1" applyBorder="1" applyAlignment="1">
      <alignment horizontal="center" vertical="center" wrapText="1"/>
    </xf>
    <xf numFmtId="0" fontId="39" fillId="4" borderId="137" xfId="0" applyFont="1" applyFill="1" applyBorder="1" applyAlignment="1">
      <alignment horizontal="left" vertical="center"/>
    </xf>
    <xf numFmtId="0" fontId="8" fillId="4" borderId="138" xfId="0" applyFont="1" applyFill="1" applyBorder="1" applyAlignment="1">
      <alignment horizontal="left" vertical="center"/>
    </xf>
    <xf numFmtId="0" fontId="8" fillId="4" borderId="138" xfId="0" applyFont="1" applyFill="1" applyBorder="1" applyAlignment="1">
      <alignment vertical="center"/>
    </xf>
    <xf numFmtId="0" fontId="26" fillId="4" borderId="138" xfId="0" applyFont="1" applyFill="1" applyBorder="1" applyAlignment="1">
      <alignment horizontal="center" vertical="center" wrapText="1"/>
    </xf>
    <xf numFmtId="0" fontId="8" fillId="4" borderId="139" xfId="0" applyFont="1" applyFill="1" applyBorder="1"/>
    <xf numFmtId="0" fontId="39" fillId="4" borderId="136" xfId="0" applyFont="1" applyFill="1" applyBorder="1" applyAlignment="1">
      <alignment horizontal="left" vertical="center"/>
    </xf>
    <xf numFmtId="0" fontId="8" fillId="4" borderId="140" xfId="0" applyFont="1" applyFill="1" applyBorder="1"/>
    <xf numFmtId="0" fontId="8" fillId="0" borderId="143" xfId="0" applyFont="1" applyBorder="1" applyAlignment="1">
      <alignment horizontal="center" vertical="center" wrapText="1"/>
    </xf>
    <xf numFmtId="0" fontId="0" fillId="0" borderId="144" xfId="0" applyBorder="1" applyAlignment="1">
      <alignment horizontal="center" vertical="center" wrapText="1"/>
    </xf>
    <xf numFmtId="0" fontId="8" fillId="0" borderId="135" xfId="0" applyFont="1" applyBorder="1" applyAlignment="1">
      <alignment horizontal="center" vertical="center" wrapText="1"/>
    </xf>
    <xf numFmtId="0" fontId="8" fillId="0" borderId="150" xfId="0" applyFont="1" applyBorder="1" applyAlignment="1">
      <alignment horizontal="center" vertical="center" wrapText="1"/>
    </xf>
    <xf numFmtId="2" fontId="8" fillId="0" borderId="2" xfId="0" applyNumberFormat="1" applyFont="1" applyBorder="1" applyAlignment="1">
      <alignment horizontal="center" vertical="center"/>
    </xf>
    <xf numFmtId="0" fontId="14" fillId="0" borderId="125" xfId="0" applyFont="1" applyBorder="1" applyAlignment="1">
      <alignment horizontal="center"/>
    </xf>
    <xf numFmtId="0" fontId="14" fillId="0" borderId="50" xfId="0" applyFont="1" applyBorder="1"/>
    <xf numFmtId="0" fontId="1" fillId="0" borderId="2" xfId="0" applyFont="1" applyBorder="1" applyAlignment="1">
      <alignment horizontal="center" vertical="center" wrapText="1"/>
    </xf>
    <xf numFmtId="0" fontId="26" fillId="0" borderId="30" xfId="0" applyFont="1" applyBorder="1" applyAlignment="1">
      <alignment horizontal="left" vertical="center" wrapText="1"/>
    </xf>
    <xf numFmtId="0" fontId="12" fillId="0" borderId="3" xfId="3" applyFont="1" applyFill="1" applyBorder="1" applyAlignment="1">
      <alignment horizontal="left" vertical="center" wrapText="1"/>
    </xf>
    <xf numFmtId="3" fontId="12" fillId="0" borderId="10" xfId="3" applyNumberFormat="1" applyFont="1" applyFill="1" applyBorder="1" applyAlignment="1">
      <alignment horizontal="center" vertical="center" wrapText="1"/>
    </xf>
    <xf numFmtId="0" fontId="8" fillId="0" borderId="0" xfId="0" applyFont="1" applyAlignment="1">
      <alignment horizontal="left"/>
    </xf>
    <xf numFmtId="0" fontId="26" fillId="0" borderId="0" xfId="0" applyFont="1"/>
    <xf numFmtId="0" fontId="10" fillId="0" borderId="0" xfId="5" applyAlignment="1">
      <alignment horizontal="left"/>
    </xf>
    <xf numFmtId="0" fontId="10" fillId="0" borderId="0" xfId="5" applyAlignment="1"/>
    <xf numFmtId="0" fontId="10" fillId="0" borderId="0" xfId="5" applyFill="1" applyBorder="1" applyAlignment="1">
      <alignment vertical="center"/>
    </xf>
    <xf numFmtId="0" fontId="26" fillId="0" borderId="0" xfId="0" applyFont="1" applyAlignment="1">
      <alignment vertical="center" wrapText="1"/>
    </xf>
    <xf numFmtId="171" fontId="26" fillId="48" borderId="2" xfId="0" applyNumberFormat="1" applyFont="1" applyFill="1" applyBorder="1" applyAlignment="1">
      <alignment vertical="center"/>
    </xf>
    <xf numFmtId="171" fontId="8" fillId="0" borderId="2" xfId="0" applyNumberFormat="1" applyFont="1" applyBorder="1"/>
    <xf numFmtId="43" fontId="8" fillId="0" borderId="2" xfId="0" applyNumberFormat="1" applyFont="1" applyBorder="1"/>
    <xf numFmtId="0" fontId="26" fillId="0" borderId="152" xfId="0" applyFont="1" applyBorder="1" applyAlignment="1">
      <alignment vertical="center" wrapText="1"/>
    </xf>
    <xf numFmtId="0" fontId="25" fillId="0" borderId="0" xfId="0" applyFont="1" applyAlignment="1">
      <alignment horizontal="center" vertical="center" wrapText="1"/>
    </xf>
    <xf numFmtId="0" fontId="22" fillId="7" borderId="50" xfId="0" applyFont="1" applyFill="1" applyBorder="1" applyAlignment="1">
      <alignment horizontal="center" vertical="center" wrapText="1"/>
    </xf>
    <xf numFmtId="0" fontId="26" fillId="0" borderId="10" xfId="0" applyFont="1" applyBorder="1" applyAlignment="1">
      <alignment horizontal="center" vertical="center" wrapText="1"/>
    </xf>
    <xf numFmtId="1" fontId="25" fillId="0" borderId="0" xfId="0" applyNumberFormat="1" applyFont="1" applyAlignment="1">
      <alignment horizontal="center" vertical="center"/>
    </xf>
    <xf numFmtId="1" fontId="60" fillId="0" borderId="53" xfId="0" applyNumberFormat="1" applyFont="1" applyBorder="1" applyAlignment="1">
      <alignment horizontal="center" vertical="center"/>
    </xf>
    <xf numFmtId="1" fontId="60" fillId="0" borderId="54" xfId="0" applyNumberFormat="1" applyFont="1" applyBorder="1" applyAlignment="1">
      <alignment horizontal="center" vertical="center"/>
    </xf>
    <xf numFmtId="1" fontId="60" fillId="0" borderId="56" xfId="0" applyNumberFormat="1" applyFont="1" applyBorder="1" applyAlignment="1">
      <alignment horizontal="center" vertical="center"/>
    </xf>
    <xf numFmtId="1" fontId="60" fillId="0" borderId="57" xfId="0" applyNumberFormat="1" applyFont="1" applyBorder="1" applyAlignment="1">
      <alignment horizontal="center" vertical="center"/>
    </xf>
    <xf numFmtId="1" fontId="60" fillId="0" borderId="62" xfId="0" applyNumberFormat="1" applyFont="1" applyBorder="1" applyAlignment="1">
      <alignment horizontal="center" vertical="center"/>
    </xf>
    <xf numFmtId="1" fontId="60" fillId="0" borderId="63" xfId="0" applyNumberFormat="1" applyFont="1" applyBorder="1" applyAlignment="1">
      <alignment horizontal="center" vertical="center"/>
    </xf>
    <xf numFmtId="2" fontId="40" fillId="0" borderId="11" xfId="0" applyNumberFormat="1" applyFont="1" applyBorder="1" applyAlignment="1">
      <alignment horizontal="center" vertical="center"/>
    </xf>
    <xf numFmtId="2" fontId="40" fillId="0" borderId="2" xfId="0" applyNumberFormat="1" applyFont="1" applyBorder="1" applyAlignment="1">
      <alignment horizontal="center" vertical="center"/>
    </xf>
    <xf numFmtId="0" fontId="25" fillId="0" borderId="162" xfId="0" applyFont="1" applyBorder="1" applyAlignment="1">
      <alignment horizontal="center" vertical="center"/>
    </xf>
    <xf numFmtId="2" fontId="25" fillId="0" borderId="163" xfId="0" applyNumberFormat="1" applyFont="1" applyBorder="1" applyAlignment="1">
      <alignment horizontal="center" vertical="center"/>
    </xf>
    <xf numFmtId="0" fontId="25" fillId="0" borderId="52" xfId="0" applyFont="1" applyBorder="1" applyAlignment="1">
      <alignment horizontal="center" vertical="center"/>
    </xf>
    <xf numFmtId="0" fontId="25" fillId="0" borderId="139" xfId="0" applyFont="1" applyBorder="1" applyAlignment="1">
      <alignment horizontal="center" vertical="center"/>
    </xf>
    <xf numFmtId="0" fontId="25" fillId="0" borderId="166" xfId="0" applyFont="1" applyBorder="1" applyAlignment="1">
      <alignment horizontal="center" vertical="center"/>
    </xf>
    <xf numFmtId="0" fontId="25" fillId="0" borderId="168" xfId="0" applyFont="1" applyBorder="1" applyAlignment="1">
      <alignment horizontal="center" vertical="center"/>
    </xf>
    <xf numFmtId="2" fontId="25" fillId="0" borderId="167" xfId="0" applyNumberFormat="1" applyFont="1" applyBorder="1" applyAlignment="1">
      <alignment horizontal="center" vertical="center"/>
    </xf>
    <xf numFmtId="2" fontId="25" fillId="0" borderId="170" xfId="0" applyNumberFormat="1" applyFont="1" applyBorder="1" applyAlignment="1">
      <alignment horizontal="center" vertical="center"/>
    </xf>
    <xf numFmtId="2" fontId="25" fillId="0" borderId="50" xfId="0" applyNumberFormat="1" applyFont="1" applyBorder="1" applyAlignment="1">
      <alignment horizontal="center" vertical="center"/>
    </xf>
    <xf numFmtId="2" fontId="25" fillId="0" borderId="172" xfId="0" applyNumberFormat="1" applyFont="1" applyBorder="1" applyAlignment="1">
      <alignment horizontal="center" vertical="center"/>
    </xf>
    <xf numFmtId="0" fontId="25" fillId="0" borderId="5" xfId="0" applyFont="1" applyBorder="1" applyAlignment="1">
      <alignment horizontal="center" vertical="center"/>
    </xf>
    <xf numFmtId="1" fontId="25" fillId="0" borderId="2" xfId="0" applyNumberFormat="1" applyFont="1" applyBorder="1" applyAlignment="1">
      <alignment horizontal="center" vertical="center"/>
    </xf>
    <xf numFmtId="1" fontId="25" fillId="0" borderId="6" xfId="0" applyNumberFormat="1" applyFont="1" applyBorder="1" applyAlignment="1">
      <alignment horizontal="center" vertical="center"/>
    </xf>
    <xf numFmtId="0" fontId="25" fillId="0" borderId="7" xfId="0" applyFont="1" applyBorder="1" applyAlignment="1">
      <alignment horizontal="center" vertical="center"/>
    </xf>
    <xf numFmtId="1" fontId="25" fillId="0" borderId="27" xfId="0" applyNumberFormat="1" applyFont="1" applyBorder="1" applyAlignment="1">
      <alignment horizontal="center" vertical="center"/>
    </xf>
    <xf numFmtId="1" fontId="25" fillId="0" borderId="8" xfId="0" applyNumberFormat="1" applyFont="1" applyBorder="1" applyAlignment="1">
      <alignment horizontal="center" vertical="center"/>
    </xf>
    <xf numFmtId="0" fontId="25" fillId="0" borderId="71" xfId="0" applyFont="1" applyBorder="1" applyAlignment="1">
      <alignment horizontal="center" vertical="center"/>
    </xf>
    <xf numFmtId="1" fontId="25" fillId="0" borderId="18" xfId="0" applyNumberFormat="1" applyFont="1" applyBorder="1" applyAlignment="1">
      <alignment horizontal="center" vertical="center"/>
    </xf>
    <xf numFmtId="1" fontId="25" fillId="0" borderId="72" xfId="0" applyNumberFormat="1" applyFont="1" applyBorder="1" applyAlignment="1">
      <alignment horizontal="center" vertical="center"/>
    </xf>
    <xf numFmtId="1" fontId="25" fillId="0" borderId="161" xfId="0" applyNumberFormat="1" applyFont="1" applyBorder="1" applyAlignment="1">
      <alignment horizontal="center" vertical="center"/>
    </xf>
    <xf numFmtId="1" fontId="25" fillId="0" borderId="187" xfId="0" applyNumberFormat="1" applyFont="1" applyBorder="1" applyAlignment="1">
      <alignment horizontal="center" vertical="center"/>
    </xf>
    <xf numFmtId="1" fontId="25" fillId="0" borderId="50" xfId="0" applyNumberFormat="1" applyFont="1" applyBorder="1" applyAlignment="1">
      <alignment horizontal="center" vertical="center"/>
    </xf>
    <xf numFmtId="1" fontId="25" fillId="0" borderId="172" xfId="0" applyNumberFormat="1" applyFont="1" applyBorder="1" applyAlignment="1">
      <alignment horizontal="center" vertical="center"/>
    </xf>
    <xf numFmtId="1" fontId="25" fillId="0" borderId="165" xfId="0" applyNumberFormat="1" applyFont="1" applyBorder="1" applyAlignment="1">
      <alignment horizontal="center" vertical="center"/>
    </xf>
    <xf numFmtId="1" fontId="25" fillId="0" borderId="173" xfId="0" applyNumberFormat="1" applyFont="1" applyBorder="1" applyAlignment="1">
      <alignment horizontal="center" vertical="center"/>
    </xf>
    <xf numFmtId="2" fontId="8" fillId="0" borderId="0" xfId="0" applyNumberFormat="1" applyFont="1"/>
    <xf numFmtId="0" fontId="25" fillId="0" borderId="229" xfId="0" applyFont="1" applyBorder="1" applyAlignment="1">
      <alignment horizontal="center" vertical="center"/>
    </xf>
    <xf numFmtId="2" fontId="25" fillId="0" borderId="230" xfId="0" applyNumberFormat="1" applyFont="1" applyBorder="1" applyAlignment="1">
      <alignment horizontal="center" vertical="center"/>
    </xf>
    <xf numFmtId="2" fontId="25" fillId="0" borderId="231" xfId="0" applyNumberFormat="1" applyFont="1" applyBorder="1" applyAlignment="1">
      <alignment horizontal="center" vertical="center"/>
    </xf>
    <xf numFmtId="0" fontId="25" fillId="0" borderId="232" xfId="0" applyFont="1" applyBorder="1" applyAlignment="1">
      <alignment horizontal="center" vertical="center"/>
    </xf>
    <xf numFmtId="2" fontId="25" fillId="0" borderId="233" xfId="0" applyNumberFormat="1" applyFont="1" applyBorder="1" applyAlignment="1">
      <alignment horizontal="center" vertical="center"/>
    </xf>
    <xf numFmtId="0" fontId="25" fillId="0" borderId="234" xfId="0" applyFont="1" applyBorder="1" applyAlignment="1">
      <alignment horizontal="center" vertical="center"/>
    </xf>
    <xf numFmtId="2" fontId="25" fillId="0" borderId="235" xfId="0" applyNumberFormat="1" applyFont="1" applyBorder="1" applyAlignment="1">
      <alignment horizontal="center" vertical="center"/>
    </xf>
    <xf numFmtId="2" fontId="25" fillId="0" borderId="236" xfId="0" applyNumberFormat="1" applyFont="1" applyBorder="1" applyAlignment="1">
      <alignment horizontal="center" vertical="center"/>
    </xf>
    <xf numFmtId="2" fontId="25" fillId="0" borderId="107" xfId="0" applyNumberFormat="1" applyFont="1" applyBorder="1" applyAlignment="1">
      <alignment horizontal="center" vertical="center"/>
    </xf>
    <xf numFmtId="2" fontId="25" fillId="0" borderId="240" xfId="0" applyNumberFormat="1" applyFont="1" applyBorder="1" applyAlignment="1">
      <alignment horizontal="center" vertical="center"/>
    </xf>
    <xf numFmtId="166" fontId="8" fillId="0" borderId="0" xfId="7" applyNumberFormat="1" applyFont="1" applyAlignment="1">
      <alignment horizontal="left" vertical="center"/>
    </xf>
    <xf numFmtId="165" fontId="25" fillId="0" borderId="55" xfId="0" applyNumberFormat="1" applyFont="1" applyBorder="1" applyAlignment="1">
      <alignment horizontal="center" vertical="center"/>
    </xf>
    <xf numFmtId="2" fontId="60" fillId="0" borderId="53" xfId="0" applyNumberFormat="1" applyFont="1" applyBorder="1" applyAlignment="1">
      <alignment horizontal="center" vertical="center"/>
    </xf>
    <xf numFmtId="2" fontId="60" fillId="0" borderId="54" xfId="0" applyNumberFormat="1" applyFont="1" applyBorder="1" applyAlignment="1">
      <alignment horizontal="center" vertical="center"/>
    </xf>
    <xf numFmtId="0" fontId="14" fillId="0" borderId="241" xfId="0" applyFont="1" applyBorder="1" applyAlignment="1">
      <alignment horizontal="center" vertical="center"/>
    </xf>
    <xf numFmtId="2" fontId="60" fillId="0" borderId="59" xfId="0" applyNumberFormat="1" applyFont="1" applyBorder="1" applyAlignment="1">
      <alignment horizontal="center" vertical="center"/>
    </xf>
    <xf numFmtId="2" fontId="60" fillId="0" borderId="60" xfId="0" applyNumberFormat="1" applyFont="1" applyBorder="1" applyAlignment="1">
      <alignment horizontal="center" vertical="center"/>
    </xf>
    <xf numFmtId="0" fontId="10" fillId="0" borderId="0" xfId="5" applyAlignment="1">
      <alignment horizontal="left" vertical="center"/>
    </xf>
    <xf numFmtId="0" fontId="14" fillId="0" borderId="241" xfId="0" applyFont="1" applyBorder="1" applyAlignment="1">
      <alignment horizontal="center" vertical="center" wrapText="1"/>
    </xf>
    <xf numFmtId="2" fontId="67" fillId="0" borderId="2" xfId="0" applyNumberFormat="1" applyFont="1" applyBorder="1" applyAlignment="1">
      <alignment horizontal="center" vertical="center"/>
    </xf>
    <xf numFmtId="0" fontId="25" fillId="0" borderId="258" xfId="0" applyFont="1" applyBorder="1" applyAlignment="1">
      <alignment horizontal="center" vertical="center"/>
    </xf>
    <xf numFmtId="2" fontId="62" fillId="0" borderId="1" xfId="0" applyNumberFormat="1" applyFont="1" applyBorder="1" applyAlignment="1">
      <alignment horizontal="center" vertical="center"/>
    </xf>
    <xf numFmtId="2" fontId="67" fillId="0" borderId="65" xfId="0" applyNumberFormat="1" applyFont="1" applyBorder="1" applyAlignment="1">
      <alignment horizontal="center" vertical="center"/>
    </xf>
    <xf numFmtId="0" fontId="14" fillId="0" borderId="241" xfId="0" applyFont="1" applyBorder="1" applyAlignment="1">
      <alignment horizontal="left" vertical="center"/>
    </xf>
    <xf numFmtId="0" fontId="14" fillId="0" borderId="241" xfId="0" applyFont="1" applyBorder="1" applyAlignment="1">
      <alignment horizontal="left" vertical="center" wrapText="1"/>
    </xf>
    <xf numFmtId="2" fontId="60" fillId="0" borderId="2" xfId="0" applyNumberFormat="1" applyFont="1" applyBorder="1" applyAlignment="1">
      <alignment horizontal="center" vertical="center"/>
    </xf>
    <xf numFmtId="165" fontId="25" fillId="0" borderId="258" xfId="0" applyNumberFormat="1" applyFont="1" applyBorder="1" applyAlignment="1">
      <alignment horizontal="center" vertical="center"/>
    </xf>
    <xf numFmtId="2" fontId="60" fillId="0" borderId="1" xfId="0" applyNumberFormat="1" applyFont="1" applyBorder="1" applyAlignment="1">
      <alignment horizontal="center" vertical="center"/>
    </xf>
    <xf numFmtId="2" fontId="60" fillId="0" borderId="4" xfId="0" applyNumberFormat="1" applyFont="1" applyBorder="1" applyAlignment="1">
      <alignment horizontal="center" vertical="center"/>
    </xf>
    <xf numFmtId="2" fontId="60" fillId="0" borderId="6" xfId="0" applyNumberFormat="1" applyFont="1" applyBorder="1" applyAlignment="1">
      <alignment horizontal="center" vertical="center"/>
    </xf>
    <xf numFmtId="2" fontId="60" fillId="0" borderId="27" xfId="0" applyNumberFormat="1" applyFont="1" applyBorder="1" applyAlignment="1">
      <alignment horizontal="center" vertical="center"/>
    </xf>
    <xf numFmtId="2" fontId="60" fillId="0" borderId="8" xfId="0" applyNumberFormat="1" applyFont="1" applyBorder="1" applyAlignment="1">
      <alignment horizontal="center" vertical="center"/>
    </xf>
    <xf numFmtId="2" fontId="40" fillId="0" borderId="18" xfId="0" applyNumberFormat="1" applyFont="1" applyBorder="1" applyAlignment="1">
      <alignment horizontal="center" vertical="center"/>
    </xf>
    <xf numFmtId="2" fontId="40" fillId="0" borderId="72" xfId="0" applyNumberFormat="1" applyFont="1" applyBorder="1" applyAlignment="1">
      <alignment horizontal="center" vertical="center"/>
    </xf>
    <xf numFmtId="2" fontId="67" fillId="0" borderId="6" xfId="0" applyNumberFormat="1" applyFont="1" applyBorder="1" applyAlignment="1">
      <alignment horizontal="center" vertical="center"/>
    </xf>
    <xf numFmtId="2" fontId="67" fillId="0" borderId="66" xfId="0" applyNumberFormat="1" applyFont="1" applyBorder="1" applyAlignment="1">
      <alignment horizontal="center" vertical="center"/>
    </xf>
    <xf numFmtId="2" fontId="62" fillId="0" borderId="18" xfId="0" applyNumberFormat="1" applyFont="1" applyBorder="1" applyAlignment="1">
      <alignment horizontal="center" vertical="center"/>
    </xf>
    <xf numFmtId="2" fontId="67" fillId="0" borderId="56" xfId="0" applyNumberFormat="1" applyFont="1" applyBorder="1" applyAlignment="1">
      <alignment horizontal="center" vertical="center"/>
    </xf>
    <xf numFmtId="2" fontId="67" fillId="0" borderId="57" xfId="0" applyNumberFormat="1" applyFont="1" applyBorder="1" applyAlignment="1">
      <alignment horizontal="center" vertical="center"/>
    </xf>
    <xf numFmtId="2" fontId="67" fillId="0" borderId="76" xfId="0" applyNumberFormat="1" applyFont="1" applyBorder="1" applyAlignment="1">
      <alignment horizontal="center" vertical="center"/>
    </xf>
    <xf numFmtId="0" fontId="67" fillId="0" borderId="58" xfId="0" applyFont="1" applyBorder="1" applyAlignment="1">
      <alignment horizontal="center" vertical="center"/>
    </xf>
    <xf numFmtId="2" fontId="8" fillId="0" borderId="0" xfId="0" applyNumberFormat="1" applyFont="1" applyAlignment="1">
      <alignment horizontal="center"/>
    </xf>
    <xf numFmtId="172" fontId="64" fillId="8" borderId="50" xfId="0" applyNumberFormat="1" applyFont="1" applyFill="1" applyBorder="1" applyAlignment="1">
      <alignment vertical="center"/>
    </xf>
    <xf numFmtId="0" fontId="8" fillId="0" borderId="241" xfId="0" applyFont="1" applyBorder="1"/>
    <xf numFmtId="43" fontId="8" fillId="0" borderId="51" xfId="0" applyNumberFormat="1" applyFont="1" applyBorder="1" applyAlignment="1">
      <alignment horizontal="center" vertical="center" wrapText="1"/>
    </xf>
    <xf numFmtId="0" fontId="21" fillId="13" borderId="11" xfId="0" applyFont="1" applyFill="1" applyBorder="1" applyAlignment="1">
      <alignment wrapText="1"/>
    </xf>
    <xf numFmtId="0" fontId="21" fillId="13" borderId="14" xfId="0" applyFont="1" applyFill="1" applyBorder="1" applyAlignment="1">
      <alignment wrapText="1"/>
    </xf>
    <xf numFmtId="0" fontId="8" fillId="0" borderId="241" xfId="0" applyFont="1" applyBorder="1" applyAlignment="1">
      <alignment wrapText="1"/>
    </xf>
    <xf numFmtId="0" fontId="21" fillId="51" borderId="2" xfId="0" applyFont="1" applyFill="1" applyBorder="1" applyAlignment="1">
      <alignment horizontal="center" vertical="center" wrapText="1"/>
    </xf>
    <xf numFmtId="165" fontId="26" fillId="0" borderId="2" xfId="0" applyNumberFormat="1" applyFont="1" applyBorder="1" applyAlignment="1">
      <alignment horizontal="center" vertical="center"/>
    </xf>
    <xf numFmtId="0" fontId="21" fillId="13" borderId="2" xfId="0" applyFont="1" applyFill="1" applyBorder="1" applyAlignment="1">
      <alignment horizontal="center" vertical="center" wrapText="1"/>
    </xf>
    <xf numFmtId="173" fontId="26" fillId="0" borderId="2" xfId="0" applyNumberFormat="1" applyFont="1" applyBorder="1" applyAlignment="1">
      <alignment horizontal="center" vertical="center"/>
    </xf>
    <xf numFmtId="173" fontId="8" fillId="0" borderId="2" xfId="0" applyNumberFormat="1" applyFont="1" applyBorder="1"/>
    <xf numFmtId="165" fontId="16" fillId="0" borderId="0" xfId="0" applyNumberFormat="1" applyFont="1"/>
    <xf numFmtId="0" fontId="21" fillId="0" borderId="0" xfId="0" applyFont="1" applyAlignment="1">
      <alignment horizontal="center" vertical="center" wrapText="1"/>
    </xf>
    <xf numFmtId="0" fontId="27" fillId="7" borderId="2" xfId="0" applyFont="1" applyFill="1" applyBorder="1" applyAlignment="1">
      <alignment horizontal="center" vertical="center"/>
    </xf>
    <xf numFmtId="0" fontId="8" fillId="0" borderId="2" xfId="4" applyBorder="1" applyAlignment="1">
      <alignment horizontal="center" vertical="center"/>
    </xf>
    <xf numFmtId="169" fontId="8" fillId="0" borderId="2" xfId="6" applyNumberFormat="1" applyFont="1" applyBorder="1" applyAlignment="1">
      <alignment horizontal="center" vertical="center"/>
    </xf>
    <xf numFmtId="173" fontId="8" fillId="0" borderId="2" xfId="6" applyNumberFormat="1" applyFont="1" applyBorder="1" applyAlignment="1">
      <alignment horizontal="center" vertical="center"/>
    </xf>
    <xf numFmtId="0" fontId="41" fillId="0" borderId="0" xfId="0" applyFont="1"/>
    <xf numFmtId="0" fontId="27" fillId="13" borderId="14" xfId="0" applyFont="1" applyFill="1" applyBorder="1" applyAlignment="1">
      <alignment horizontal="center" vertical="center" wrapText="1"/>
    </xf>
    <xf numFmtId="0" fontId="8" fillId="0" borderId="0" xfId="0" applyFont="1" applyAlignment="1">
      <alignment vertical="center" wrapText="1"/>
    </xf>
    <xf numFmtId="0" fontId="8" fillId="0" borderId="2" xfId="0" applyFont="1" applyBorder="1" applyAlignment="1">
      <alignment horizontal="center" vertical="center"/>
    </xf>
    <xf numFmtId="0" fontId="8" fillId="0" borderId="0" xfId="0" applyFont="1" applyAlignment="1">
      <alignment horizontal="left" vertical="center"/>
    </xf>
    <xf numFmtId="0" fontId="15" fillId="9" borderId="0" xfId="0" applyFont="1" applyFill="1" applyAlignment="1">
      <alignment horizontal="center" vertical="center"/>
    </xf>
    <xf numFmtId="0" fontId="26" fillId="49" borderId="11" xfId="0" applyFont="1" applyFill="1" applyBorder="1" applyAlignment="1">
      <alignment wrapText="1"/>
    </xf>
    <xf numFmtId="0" fontId="26" fillId="49" borderId="15" xfId="0" applyFont="1" applyFill="1" applyBorder="1" applyAlignment="1">
      <alignment wrapText="1"/>
    </xf>
    <xf numFmtId="0" fontId="26" fillId="49" borderId="18" xfId="0" applyFont="1" applyFill="1" applyBorder="1" applyAlignment="1">
      <alignment wrapText="1"/>
    </xf>
    <xf numFmtId="0" fontId="26" fillId="47" borderId="11" xfId="0" applyFont="1" applyFill="1" applyBorder="1" applyAlignment="1">
      <alignment horizontal="left" vertical="center" wrapText="1"/>
    </xf>
    <xf numFmtId="0" fontId="26" fillId="47" borderId="15" xfId="0" applyFont="1" applyFill="1" applyBorder="1" applyAlignment="1">
      <alignment horizontal="left" vertical="center" wrapText="1"/>
    </xf>
    <xf numFmtId="0" fontId="26" fillId="47" borderId="18" xfId="0" applyFont="1" applyFill="1" applyBorder="1" applyAlignment="1">
      <alignment horizontal="left" vertical="center" wrapText="1"/>
    </xf>
    <xf numFmtId="0" fontId="8" fillId="0" borderId="24" xfId="0" applyFont="1" applyBorder="1" applyAlignment="1">
      <alignment horizontal="center" vertical="center"/>
    </xf>
    <xf numFmtId="0" fontId="8" fillId="0" borderId="22" xfId="0" applyFont="1" applyBorder="1" applyAlignment="1">
      <alignment horizontal="center" vertical="center"/>
    </xf>
    <xf numFmtId="0" fontId="8" fillId="0" borderId="129" xfId="0" applyFont="1" applyBorder="1" applyAlignment="1">
      <alignment horizontal="center" vertical="center" wrapText="1"/>
    </xf>
    <xf numFmtId="0" fontId="8" fillId="0" borderId="90" xfId="0" applyFont="1" applyBorder="1" applyAlignment="1">
      <alignment horizontal="center" vertical="center"/>
    </xf>
    <xf numFmtId="0" fontId="8" fillId="0" borderId="22" xfId="0" applyFont="1" applyBorder="1" applyAlignment="1">
      <alignment horizontal="center" vertical="center" wrapText="1"/>
    </xf>
    <xf numFmtId="0" fontId="8" fillId="0" borderId="0" xfId="0" applyFont="1" applyAlignment="1">
      <alignment horizontal="center"/>
    </xf>
    <xf numFmtId="0" fontId="8" fillId="0" borderId="99" xfId="0" applyFont="1" applyBorder="1" applyAlignment="1">
      <alignment horizontal="center" vertical="center" wrapText="1"/>
    </xf>
    <xf numFmtId="0" fontId="8" fillId="0" borderId="131" xfId="0" applyFont="1" applyBorder="1" applyAlignment="1">
      <alignment horizontal="center" vertical="center" wrapText="1"/>
    </xf>
    <xf numFmtId="0" fontId="8" fillId="0" borderId="11" xfId="0" applyFont="1" applyBorder="1" applyAlignment="1">
      <alignment horizontal="center" vertical="center" wrapText="1"/>
    </xf>
    <xf numFmtId="0" fontId="26" fillId="0" borderId="11" xfId="0" applyFont="1" applyBorder="1" applyAlignment="1">
      <alignment horizontal="left" vertical="center" wrapText="1"/>
    </xf>
    <xf numFmtId="0" fontId="26" fillId="0" borderId="18" xfId="0" applyFont="1" applyBorder="1" applyAlignment="1">
      <alignment horizontal="left" vertical="center" wrapText="1"/>
    </xf>
    <xf numFmtId="0" fontId="21" fillId="7" borderId="50" xfId="0" applyFont="1" applyFill="1" applyBorder="1" applyAlignment="1">
      <alignment horizontal="center" vertical="center" wrapText="1"/>
    </xf>
    <xf numFmtId="0" fontId="8" fillId="0" borderId="0" xfId="0" applyFont="1" applyAlignment="1">
      <alignment horizontal="left" wrapText="1"/>
    </xf>
    <xf numFmtId="0" fontId="8" fillId="0" borderId="50" xfId="0" applyFont="1" applyBorder="1" applyAlignment="1">
      <alignment horizontal="center" vertical="center" wrapText="1"/>
    </xf>
    <xf numFmtId="0" fontId="8" fillId="0" borderId="0" xfId="0" applyFont="1" applyAlignment="1">
      <alignment horizontal="center" vertical="center"/>
    </xf>
    <xf numFmtId="0" fontId="9" fillId="7" borderId="0" xfId="0" applyFont="1" applyFill="1" applyAlignment="1">
      <alignment horizontal="center" vertical="center"/>
    </xf>
    <xf numFmtId="0" fontId="9" fillId="7" borderId="2" xfId="0" applyFont="1" applyFill="1" applyBorder="1" applyAlignment="1">
      <alignment horizontal="center" vertical="center"/>
    </xf>
    <xf numFmtId="0" fontId="9" fillId="7" borderId="11" xfId="0" applyFont="1" applyFill="1" applyBorder="1" applyAlignment="1">
      <alignment horizontal="center" vertical="center"/>
    </xf>
    <xf numFmtId="0" fontId="21" fillId="7" borderId="2" xfId="0" applyFont="1" applyFill="1" applyBorder="1" applyAlignment="1">
      <alignment horizontal="center" vertical="center" wrapText="1"/>
    </xf>
    <xf numFmtId="0" fontId="26" fillId="0" borderId="2" xfId="0" applyFont="1" applyBorder="1" applyAlignment="1">
      <alignment horizontal="center" vertical="center"/>
    </xf>
    <xf numFmtId="0" fontId="27" fillId="7" borderId="50" xfId="0" applyFont="1" applyFill="1" applyBorder="1" applyAlignment="1">
      <alignment horizontal="center" vertical="center"/>
    </xf>
    <xf numFmtId="0" fontId="8" fillId="0" borderId="50" xfId="0" applyFont="1" applyBorder="1" applyAlignment="1">
      <alignment horizontal="center" vertical="center"/>
    </xf>
    <xf numFmtId="9" fontId="8" fillId="0" borderId="50" xfId="2" applyFont="1" applyFill="1" applyBorder="1" applyAlignment="1">
      <alignment horizontal="center" vertical="center"/>
    </xf>
    <xf numFmtId="0" fontId="27" fillId="13" borderId="0" xfId="0" applyFont="1" applyFill="1" applyAlignment="1">
      <alignment horizontal="center" vertical="center" wrapText="1"/>
    </xf>
    <xf numFmtId="168" fontId="8" fillId="0" borderId="22" xfId="0" applyNumberFormat="1" applyFont="1" applyBorder="1" applyAlignment="1">
      <alignment horizontal="center" vertical="center"/>
    </xf>
    <xf numFmtId="0" fontId="27" fillId="0" borderId="0" xfId="0" applyFont="1" applyAlignment="1">
      <alignment horizontal="center" vertical="center"/>
    </xf>
    <xf numFmtId="10" fontId="8" fillId="0" borderId="0" xfId="2" applyNumberFormat="1" applyFont="1" applyFill="1" applyBorder="1"/>
    <xf numFmtId="10" fontId="9" fillId="0" borderId="0" xfId="2" applyNumberFormat="1" applyFont="1" applyFill="1" applyBorder="1"/>
    <xf numFmtId="0" fontId="15" fillId="0" borderId="0" xfId="0" applyFont="1" applyAlignment="1">
      <alignment vertical="center" wrapText="1"/>
    </xf>
    <xf numFmtId="0" fontId="27" fillId="0" borderId="0" xfId="0" applyFont="1" applyAlignment="1">
      <alignment vertical="center"/>
    </xf>
    <xf numFmtId="0" fontId="25" fillId="0" borderId="176" xfId="0" applyFont="1" applyBorder="1" applyAlignment="1">
      <alignment horizontal="center" vertical="center"/>
    </xf>
    <xf numFmtId="1" fontId="25" fillId="0" borderId="155" xfId="0" applyNumberFormat="1" applyFont="1" applyBorder="1" applyAlignment="1">
      <alignment horizontal="center" vertical="center"/>
    </xf>
    <xf numFmtId="1" fontId="25" fillId="0" borderId="169" xfId="0" applyNumberFormat="1" applyFont="1" applyBorder="1" applyAlignment="1">
      <alignment horizontal="center" vertical="center"/>
    </xf>
    <xf numFmtId="1" fontId="25" fillId="0" borderId="171" xfId="0" applyNumberFormat="1" applyFont="1" applyBorder="1" applyAlignment="1">
      <alignment horizontal="center" vertical="center"/>
    </xf>
    <xf numFmtId="0" fontId="25" fillId="0" borderId="180" xfId="0" applyFont="1" applyBorder="1" applyAlignment="1">
      <alignment horizontal="center" vertical="center"/>
    </xf>
    <xf numFmtId="1" fontId="25" fillId="0" borderId="179" xfId="0" applyNumberFormat="1" applyFont="1" applyBorder="1" applyAlignment="1">
      <alignment horizontal="center" vertical="center"/>
    </xf>
    <xf numFmtId="1" fontId="25" fillId="0" borderId="181" xfId="0" applyNumberFormat="1" applyFont="1" applyBorder="1" applyAlignment="1">
      <alignment horizontal="center" vertical="center"/>
    </xf>
    <xf numFmtId="1" fontId="25" fillId="0" borderId="167" xfId="0" applyNumberFormat="1" applyFont="1" applyBorder="1" applyAlignment="1">
      <alignment horizontal="center" vertical="center"/>
    </xf>
    <xf numFmtId="1" fontId="25" fillId="0" borderId="170" xfId="0" applyNumberFormat="1" applyFont="1" applyBorder="1" applyAlignment="1">
      <alignment horizontal="center" vertical="center"/>
    </xf>
    <xf numFmtId="1" fontId="8" fillId="0" borderId="2" xfId="7" applyNumberFormat="1" applyFont="1" applyBorder="1" applyAlignment="1">
      <alignment horizontal="center" vertical="center"/>
    </xf>
    <xf numFmtId="0" fontId="8" fillId="0" borderId="0" xfId="0" applyFont="1" applyAlignment="1">
      <alignment vertical="center" wrapText="1"/>
    </xf>
    <xf numFmtId="0" fontId="8" fillId="0" borderId="2" xfId="0" applyFont="1" applyBorder="1" applyAlignment="1">
      <alignment horizontal="center" vertical="center"/>
    </xf>
    <xf numFmtId="0" fontId="8" fillId="0" borderId="0" xfId="0" applyFont="1" applyAlignment="1">
      <alignment horizontal="left" vertical="center"/>
    </xf>
    <xf numFmtId="0" fontId="15" fillId="9" borderId="0" xfId="0" applyFont="1" applyFill="1" applyAlignment="1">
      <alignment horizontal="center" vertical="center"/>
    </xf>
    <xf numFmtId="0" fontId="8" fillId="0" borderId="0" xfId="0" applyFont="1" applyAlignment="1">
      <alignment horizontal="left" vertical="center" wrapText="1"/>
    </xf>
    <xf numFmtId="0" fontId="41" fillId="0" borderId="0" xfId="0" applyFont="1"/>
    <xf numFmtId="0" fontId="20" fillId="0" borderId="20" xfId="0" applyFont="1" applyBorder="1" applyAlignment="1">
      <alignment horizontal="left" vertical="center"/>
    </xf>
    <xf numFmtId="0" fontId="15" fillId="9" borderId="3" xfId="1" applyFont="1" applyFill="1" applyBorder="1" applyAlignment="1">
      <alignment horizontal="center" vertical="center" wrapText="1"/>
    </xf>
    <xf numFmtId="0" fontId="15" fillId="9" borderId="9" xfId="1" applyFont="1" applyFill="1" applyBorder="1" applyAlignment="1">
      <alignment horizontal="center" vertical="center" wrapText="1"/>
    </xf>
    <xf numFmtId="0" fontId="26" fillId="47" borderId="11" xfId="0" applyFont="1" applyFill="1" applyBorder="1" applyAlignment="1">
      <alignment horizontal="left" vertical="center"/>
    </xf>
    <xf numFmtId="0" fontId="26" fillId="47" borderId="15" xfId="0" applyFont="1" applyFill="1" applyBorder="1" applyAlignment="1">
      <alignment horizontal="left" vertical="center"/>
    </xf>
    <xf numFmtId="0" fontId="26" fillId="47" borderId="18" xfId="0" applyFont="1" applyFill="1" applyBorder="1" applyAlignment="1">
      <alignment horizontal="left" vertical="center"/>
    </xf>
    <xf numFmtId="0" fontId="41" fillId="0" borderId="16" xfId="0" applyFont="1" applyBorder="1"/>
    <xf numFmtId="0" fontId="26" fillId="47" borderId="11" xfId="0" applyFont="1" applyFill="1" applyBorder="1" applyAlignment="1">
      <alignment horizontal="left" vertical="center" wrapText="1"/>
    </xf>
    <xf numFmtId="0" fontId="26" fillId="47" borderId="15" xfId="0" applyFont="1" applyFill="1" applyBorder="1" applyAlignment="1">
      <alignment horizontal="left" vertical="center" wrapText="1"/>
    </xf>
    <xf numFmtId="0" fontId="26" fillId="47" borderId="18" xfId="0" applyFont="1" applyFill="1" applyBorder="1" applyAlignment="1">
      <alignment horizontal="left" vertical="center" wrapText="1"/>
    </xf>
    <xf numFmtId="0" fontId="26" fillId="47" borderId="11" xfId="0" applyFont="1" applyFill="1" applyBorder="1" applyAlignment="1">
      <alignment vertical="center"/>
    </xf>
    <xf numFmtId="0" fontId="26" fillId="47" borderId="15" xfId="0" applyFont="1" applyFill="1" applyBorder="1" applyAlignment="1">
      <alignment vertical="center"/>
    </xf>
    <xf numFmtId="0" fontId="26" fillId="47" borderId="18" xfId="0" applyFont="1" applyFill="1" applyBorder="1" applyAlignment="1">
      <alignment vertical="center"/>
    </xf>
    <xf numFmtId="0" fontId="26" fillId="13" borderId="11" xfId="0" applyFont="1" applyFill="1" applyBorder="1" applyAlignment="1">
      <alignment vertical="center"/>
    </xf>
    <xf numFmtId="0" fontId="26" fillId="13" borderId="15" xfId="0" applyFont="1" applyFill="1" applyBorder="1" applyAlignment="1">
      <alignment vertical="center"/>
    </xf>
    <xf numFmtId="0" fontId="26" fillId="13" borderId="18" xfId="0" applyFont="1" applyFill="1" applyBorder="1" applyAlignment="1">
      <alignment vertical="center"/>
    </xf>
    <xf numFmtId="0" fontId="41" fillId="0" borderId="121" xfId="0" applyFont="1" applyBorder="1"/>
    <xf numFmtId="0" fontId="26" fillId="49" borderId="11" xfId="0" applyFont="1" applyFill="1" applyBorder="1" applyAlignment="1">
      <alignment horizontal="left" vertical="center" wrapText="1"/>
    </xf>
    <xf numFmtId="0" fontId="26" fillId="49" borderId="18" xfId="0" applyFont="1" applyFill="1" applyBorder="1" applyAlignment="1">
      <alignment horizontal="left" vertical="center" wrapText="1"/>
    </xf>
    <xf numFmtId="0" fontId="26" fillId="49" borderId="11" xfId="0" applyFont="1" applyFill="1" applyBorder="1" applyAlignment="1">
      <alignment vertical="center" wrapText="1"/>
    </xf>
    <xf numFmtId="0" fontId="26" fillId="49" borderId="18" xfId="0" applyFont="1" applyFill="1" applyBorder="1" applyAlignment="1">
      <alignment vertical="center" wrapText="1"/>
    </xf>
    <xf numFmtId="0" fontId="26" fillId="49" borderId="11" xfId="0" applyFont="1" applyFill="1" applyBorder="1" applyAlignment="1">
      <alignment wrapText="1"/>
    </xf>
    <xf numFmtId="0" fontId="26" fillId="49" borderId="15" xfId="0" applyFont="1" applyFill="1" applyBorder="1" applyAlignment="1">
      <alignment wrapText="1"/>
    </xf>
    <xf numFmtId="0" fontId="26" fillId="49" borderId="18" xfId="0" applyFont="1" applyFill="1" applyBorder="1" applyAlignment="1">
      <alignment wrapText="1"/>
    </xf>
    <xf numFmtId="0" fontId="15" fillId="9" borderId="20" xfId="0" applyFont="1" applyFill="1" applyBorder="1" applyAlignment="1">
      <alignment horizontal="center" vertical="center"/>
    </xf>
    <xf numFmtId="0" fontId="9" fillId="0" borderId="36" xfId="0" applyFont="1" applyBorder="1" applyAlignment="1">
      <alignment horizontal="center" vertical="center"/>
    </xf>
    <xf numFmtId="0" fontId="9" fillId="0" borderId="37" xfId="0" applyFont="1" applyBorder="1" applyAlignment="1">
      <alignment horizontal="center" vertical="center"/>
    </xf>
    <xf numFmtId="0" fontId="9" fillId="0" borderId="38" xfId="0" applyFont="1" applyBorder="1" applyAlignment="1">
      <alignment horizontal="center" vertical="center"/>
    </xf>
    <xf numFmtId="0" fontId="9" fillId="0" borderId="39" xfId="0" applyFont="1" applyBorder="1" applyAlignment="1">
      <alignment horizontal="center" vertical="center"/>
    </xf>
    <xf numFmtId="0" fontId="9" fillId="0" borderId="40" xfId="0" applyFont="1" applyBorder="1" applyAlignment="1">
      <alignment horizontal="center" vertical="center"/>
    </xf>
    <xf numFmtId="0" fontId="9" fillId="0" borderId="41" xfId="0" applyFont="1" applyBorder="1" applyAlignment="1">
      <alignment horizontal="center" vertical="center"/>
    </xf>
    <xf numFmtId="0" fontId="8" fillId="0" borderId="25" xfId="0" applyFont="1" applyBorder="1" applyAlignment="1">
      <alignment horizontal="center" vertical="center"/>
    </xf>
    <xf numFmtId="0" fontId="8" fillId="0" borderId="24" xfId="0" applyFont="1" applyBorder="1" applyAlignment="1">
      <alignment horizontal="center" vertical="center"/>
    </xf>
    <xf numFmtId="0" fontId="26" fillId="0" borderId="25" xfId="0" applyFont="1" applyBorder="1" applyAlignment="1">
      <alignment horizontal="center" vertical="center"/>
    </xf>
    <xf numFmtId="0" fontId="8" fillId="0" borderId="25" xfId="0" applyFont="1" applyBorder="1" applyAlignment="1">
      <alignment horizontal="center" vertical="center" wrapText="1"/>
    </xf>
    <xf numFmtId="0" fontId="8" fillId="0" borderId="24" xfId="0" applyFont="1" applyBorder="1" applyAlignment="1">
      <alignment horizontal="center" vertical="center" wrapText="1"/>
    </xf>
    <xf numFmtId="0" fontId="8" fillId="0" borderId="23" xfId="0" applyFont="1" applyBorder="1" applyAlignment="1">
      <alignment horizontal="center" vertical="center" wrapText="1"/>
    </xf>
    <xf numFmtId="0" fontId="8" fillId="0" borderId="0" xfId="0" applyFont="1" applyAlignment="1">
      <alignment horizontal="center"/>
    </xf>
    <xf numFmtId="0" fontId="66" fillId="9" borderId="262" xfId="0" applyFont="1" applyFill="1" applyBorder="1" applyAlignment="1">
      <alignment horizontal="center" vertical="center"/>
    </xf>
    <xf numFmtId="0" fontId="15" fillId="9" borderId="0" xfId="0" applyFont="1" applyFill="1" applyAlignment="1">
      <alignment horizontal="center" vertical="center" wrapText="1"/>
    </xf>
    <xf numFmtId="0" fontId="8" fillId="0" borderId="22" xfId="0" applyFont="1" applyBorder="1" applyAlignment="1">
      <alignment horizontal="center" vertical="center" wrapText="1"/>
    </xf>
    <xf numFmtId="0" fontId="8" fillId="0" borderId="22" xfId="0" applyFont="1" applyBorder="1" applyAlignment="1">
      <alignment horizontal="center" vertical="center"/>
    </xf>
    <xf numFmtId="0" fontId="1" fillId="0" borderId="22" xfId="0" applyFont="1" applyBorder="1" applyAlignment="1">
      <alignment horizontal="center" vertical="center" wrapText="1"/>
    </xf>
    <xf numFmtId="0" fontId="8" fillId="0" borderId="23" xfId="0" applyFont="1" applyBorder="1" applyAlignment="1">
      <alignment horizontal="center" vertical="center"/>
    </xf>
    <xf numFmtId="0" fontId="8" fillId="0" borderId="133" xfId="0" applyFont="1" applyBorder="1" applyAlignment="1">
      <alignment horizontal="center" vertical="center" wrapText="1"/>
    </xf>
    <xf numFmtId="0" fontId="8" fillId="0" borderId="134" xfId="0" applyFont="1" applyBorder="1" applyAlignment="1">
      <alignment horizontal="center" vertical="center" wrapText="1"/>
    </xf>
    <xf numFmtId="0" fontId="8" fillId="0" borderId="129" xfId="0" applyFont="1" applyBorder="1" applyAlignment="1">
      <alignment horizontal="center" vertical="center" wrapText="1"/>
    </xf>
    <xf numFmtId="0" fontId="15" fillId="9" borderId="132" xfId="0" applyFont="1" applyFill="1" applyBorder="1" applyAlignment="1">
      <alignment horizontal="center" vertical="center"/>
    </xf>
    <xf numFmtId="0" fontId="9" fillId="7" borderId="133" xfId="0" applyFont="1" applyFill="1" applyBorder="1" applyAlignment="1">
      <alignment horizontal="center" vertical="center" wrapText="1"/>
    </xf>
    <xf numFmtId="0" fontId="9" fillId="7" borderId="134" xfId="0" applyFont="1" applyFill="1" applyBorder="1" applyAlignment="1">
      <alignment horizontal="center" vertical="center" wrapText="1"/>
    </xf>
    <xf numFmtId="0" fontId="9" fillId="7" borderId="129" xfId="0" applyFont="1" applyFill="1" applyBorder="1" applyAlignment="1">
      <alignment horizontal="center" vertical="center" wrapText="1"/>
    </xf>
    <xf numFmtId="0" fontId="8" fillId="0" borderId="90" xfId="0" applyFont="1" applyBorder="1" applyAlignment="1">
      <alignment horizontal="center" vertical="center"/>
    </xf>
    <xf numFmtId="0" fontId="8" fillId="15" borderId="25" xfId="0" applyFont="1" applyFill="1" applyBorder="1" applyAlignment="1">
      <alignment horizontal="center" vertical="center" wrapText="1"/>
    </xf>
    <xf numFmtId="0" fontId="8" fillId="15" borderId="24" xfId="0" applyFont="1" applyFill="1" applyBorder="1" applyAlignment="1">
      <alignment horizontal="center" vertical="center" wrapText="1"/>
    </xf>
    <xf numFmtId="0" fontId="15" fillId="9" borderId="20" xfId="0" applyFont="1" applyFill="1" applyBorder="1" applyAlignment="1">
      <alignment horizontal="center" vertical="center" wrapText="1"/>
    </xf>
    <xf numFmtId="0" fontId="8" fillId="0" borderId="11" xfId="0" applyFont="1" applyBorder="1" applyAlignment="1">
      <alignment horizontal="center" vertical="center"/>
    </xf>
    <xf numFmtId="0" fontId="8" fillId="0" borderId="15" xfId="0" applyFont="1" applyBorder="1" applyAlignment="1">
      <alignment horizontal="center" vertical="center"/>
    </xf>
    <xf numFmtId="0" fontId="8" fillId="0" borderId="18" xfId="0" applyFont="1" applyBorder="1" applyAlignment="1">
      <alignment horizontal="center" vertical="center"/>
    </xf>
    <xf numFmtId="0" fontId="8" fillId="12" borderId="99" xfId="0" applyFont="1" applyFill="1" applyBorder="1" applyAlignment="1">
      <alignment horizontal="center" vertical="center"/>
    </xf>
    <xf numFmtId="0" fontId="8" fillId="12" borderId="96" xfId="0" applyFont="1" applyFill="1" applyBorder="1" applyAlignment="1">
      <alignment horizontal="center" vertical="center"/>
    </xf>
    <xf numFmtId="0" fontId="9" fillId="10" borderId="33" xfId="0" applyFont="1" applyFill="1" applyBorder="1" applyAlignment="1">
      <alignment horizontal="center" vertical="center"/>
    </xf>
    <xf numFmtId="0" fontId="9" fillId="10" borderId="34" xfId="0" applyFont="1" applyFill="1" applyBorder="1" applyAlignment="1">
      <alignment horizontal="center" vertical="center"/>
    </xf>
    <xf numFmtId="0" fontId="1" fillId="4" borderId="12" xfId="0" applyFont="1" applyFill="1" applyBorder="1" applyAlignment="1">
      <alignment horizontal="center" vertical="center" wrapText="1"/>
    </xf>
    <xf numFmtId="0" fontId="1" fillId="4" borderId="16" xfId="0" applyFont="1" applyFill="1" applyBorder="1" applyAlignment="1">
      <alignment horizontal="center" vertical="center" wrapText="1"/>
    </xf>
    <xf numFmtId="0" fontId="1" fillId="4" borderId="19" xfId="0" applyFont="1" applyFill="1" applyBorder="1" applyAlignment="1">
      <alignment horizontal="center" vertical="center" wrapText="1"/>
    </xf>
    <xf numFmtId="0" fontId="8" fillId="6" borderId="95" xfId="0" applyFont="1" applyFill="1" applyBorder="1" applyAlignment="1">
      <alignment horizontal="center" vertical="center" wrapText="1"/>
    </xf>
    <xf numFmtId="0" fontId="8" fillId="6" borderId="18" xfId="0" applyFont="1" applyFill="1" applyBorder="1" applyAlignment="1">
      <alignment horizontal="center" vertical="center" wrapText="1"/>
    </xf>
    <xf numFmtId="0" fontId="9" fillId="6" borderId="30" xfId="0" applyFont="1" applyFill="1" applyBorder="1" applyAlignment="1">
      <alignment horizontal="center" vertical="center"/>
    </xf>
    <xf numFmtId="0" fontId="9" fillId="6" borderId="32" xfId="0" applyFont="1" applyFill="1" applyBorder="1" applyAlignment="1">
      <alignment horizontal="center" vertical="center"/>
    </xf>
    <xf numFmtId="0" fontId="9" fillId="6" borderId="31" xfId="0" applyFont="1" applyFill="1" applyBorder="1" applyAlignment="1">
      <alignment horizontal="center" vertical="center"/>
    </xf>
    <xf numFmtId="0" fontId="8" fillId="11" borderId="97" xfId="0" applyFont="1" applyFill="1" applyBorder="1" applyAlignment="1">
      <alignment horizontal="center" vertical="center" wrapText="1"/>
    </xf>
    <xf numFmtId="0" fontId="8" fillId="11" borderId="98" xfId="0" applyFont="1" applyFill="1" applyBorder="1" applyAlignment="1">
      <alignment horizontal="center" vertical="center" wrapText="1"/>
    </xf>
    <xf numFmtId="0" fontId="8" fillId="10" borderId="11" xfId="0" applyFont="1" applyFill="1" applyBorder="1" applyAlignment="1">
      <alignment horizontal="center" vertical="center" wrapText="1"/>
    </xf>
    <xf numFmtId="0" fontId="8" fillId="10" borderId="18" xfId="0" applyFont="1" applyFill="1" applyBorder="1" applyAlignment="1">
      <alignment horizontal="center" vertical="center" wrapText="1"/>
    </xf>
    <xf numFmtId="0" fontId="26" fillId="0" borderId="100" xfId="0" applyFont="1" applyBorder="1" applyAlignment="1">
      <alignment horizontal="center" vertical="center" wrapText="1"/>
    </xf>
    <xf numFmtId="0" fontId="26" fillId="0" borderId="91" xfId="0" applyFont="1" applyBorder="1" applyAlignment="1">
      <alignment horizontal="center" vertical="center" wrapText="1"/>
    </xf>
    <xf numFmtId="0" fontId="26" fillId="0" borderId="89" xfId="0" applyFont="1" applyBorder="1" applyAlignment="1">
      <alignment horizontal="center" vertical="center" wrapText="1"/>
    </xf>
    <xf numFmtId="0" fontId="8" fillId="0" borderId="101" xfId="0" quotePrefix="1" applyFont="1" applyBorder="1" applyAlignment="1">
      <alignment horizontal="center" vertical="center" wrapText="1"/>
    </xf>
    <xf numFmtId="0" fontId="8" fillId="0" borderId="102" xfId="0" applyFont="1" applyBorder="1" applyAlignment="1">
      <alignment horizontal="center" vertical="center" wrapText="1"/>
    </xf>
    <xf numFmtId="0" fontId="8" fillId="0" borderId="103"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15" xfId="0" applyFont="1" applyBorder="1" applyAlignment="1">
      <alignment horizontal="center" vertical="center" wrapText="1"/>
    </xf>
    <xf numFmtId="0" fontId="8" fillId="0" borderId="18" xfId="0" applyFont="1" applyBorder="1" applyAlignment="1">
      <alignment horizontal="center" vertical="center" wrapText="1"/>
    </xf>
    <xf numFmtId="0" fontId="26" fillId="0" borderId="104" xfId="0" applyFont="1" applyBorder="1" applyAlignment="1">
      <alignment horizontal="center" vertical="center" wrapText="1"/>
    </xf>
    <xf numFmtId="0" fontId="26" fillId="0" borderId="105" xfId="0" applyFont="1" applyBorder="1" applyAlignment="1">
      <alignment horizontal="center" vertical="center" wrapText="1"/>
    </xf>
    <xf numFmtId="0" fontId="26" fillId="0" borderId="106" xfId="0" applyFont="1" applyBorder="1" applyAlignment="1">
      <alignment horizontal="center" vertical="center" wrapText="1"/>
    </xf>
    <xf numFmtId="0" fontId="8" fillId="0" borderId="99" xfId="0" applyFont="1" applyBorder="1" applyAlignment="1">
      <alignment horizontal="center" vertical="center" wrapText="1"/>
    </xf>
    <xf numFmtId="0" fontId="8" fillId="0" borderId="130" xfId="0" applyFont="1" applyBorder="1" applyAlignment="1">
      <alignment horizontal="center" vertical="center" wrapText="1"/>
    </xf>
    <xf numFmtId="0" fontId="8" fillId="50" borderId="99" xfId="0" quotePrefix="1" applyFont="1" applyFill="1" applyBorder="1" applyAlignment="1">
      <alignment horizontal="center" vertical="center" wrapText="1"/>
    </xf>
    <xf numFmtId="0" fontId="8" fillId="50" borderId="130" xfId="0" quotePrefix="1" applyFont="1" applyFill="1" applyBorder="1" applyAlignment="1">
      <alignment horizontal="center" vertical="center" wrapText="1"/>
    </xf>
    <xf numFmtId="0" fontId="8" fillId="0" borderId="131" xfId="0" applyFont="1" applyBorder="1" applyAlignment="1">
      <alignment horizontal="center" vertical="center" wrapText="1"/>
    </xf>
    <xf numFmtId="0" fontId="8" fillId="0" borderId="122" xfId="0" applyFont="1" applyBorder="1" applyAlignment="1">
      <alignment horizontal="center" vertical="center" wrapText="1"/>
    </xf>
    <xf numFmtId="0" fontId="44" fillId="14" borderId="0" xfId="0" applyFont="1" applyFill="1" applyAlignment="1">
      <alignment horizontal="center" vertical="center"/>
    </xf>
    <xf numFmtId="0" fontId="8" fillId="0" borderId="145" xfId="0" applyFont="1" applyBorder="1" applyAlignment="1">
      <alignment horizontal="center" vertical="center" wrapText="1"/>
    </xf>
    <xf numFmtId="0" fontId="8" fillId="0" borderId="147" xfId="0" applyFont="1" applyBorder="1" applyAlignment="1">
      <alignment horizontal="center" vertical="center" wrapText="1"/>
    </xf>
    <xf numFmtId="0" fontId="8" fillId="0" borderId="151" xfId="0" applyFont="1" applyBorder="1" applyAlignment="1">
      <alignment horizontal="center" vertical="center" wrapText="1"/>
    </xf>
    <xf numFmtId="0" fontId="8" fillId="0" borderId="142" xfId="0" applyFont="1" applyBorder="1" applyAlignment="1">
      <alignment horizontal="center" vertical="center" wrapText="1"/>
    </xf>
    <xf numFmtId="0" fontId="8" fillId="0" borderId="149" xfId="0" applyFont="1" applyBorder="1" applyAlignment="1">
      <alignment horizontal="center" vertical="center" wrapText="1"/>
    </xf>
    <xf numFmtId="0" fontId="8" fillId="0" borderId="141" xfId="0" applyFont="1" applyBorder="1" applyAlignment="1">
      <alignment horizontal="center" vertical="center" wrapText="1"/>
    </xf>
    <xf numFmtId="0" fontId="8" fillId="0" borderId="146" xfId="0" applyFont="1" applyBorder="1" applyAlignment="1">
      <alignment horizontal="center" vertical="center" wrapText="1"/>
    </xf>
    <xf numFmtId="0" fontId="8" fillId="0" borderId="148" xfId="0" applyFont="1" applyBorder="1" applyAlignment="1">
      <alignment horizontal="center" vertical="center" wrapText="1"/>
    </xf>
    <xf numFmtId="0" fontId="0" fillId="0" borderId="44" xfId="0" applyBorder="1" applyAlignment="1">
      <alignment horizontal="center" vertical="center" wrapText="1"/>
    </xf>
    <xf numFmtId="0" fontId="0" fillId="0" borderId="80" xfId="0" applyBorder="1" applyAlignment="1">
      <alignment horizontal="center" vertical="center" wrapText="1"/>
    </xf>
    <xf numFmtId="0" fontId="0" fillId="0" borderId="47" xfId="0" applyBorder="1" applyAlignment="1">
      <alignment horizontal="center" vertical="center" wrapText="1"/>
    </xf>
    <xf numFmtId="0" fontId="26" fillId="0" borderId="86" xfId="0" applyFont="1" applyBorder="1" applyAlignment="1">
      <alignment horizontal="center" vertical="center"/>
    </xf>
    <xf numFmtId="0" fontId="26" fillId="0" borderId="87" xfId="0" applyFont="1" applyBorder="1" applyAlignment="1">
      <alignment horizontal="center" vertical="center"/>
    </xf>
    <xf numFmtId="0" fontId="26" fillId="0" borderId="88" xfId="0" applyFont="1" applyBorder="1" applyAlignment="1">
      <alignment horizontal="center" vertical="center"/>
    </xf>
    <xf numFmtId="0" fontId="26" fillId="0" borderId="11" xfId="0" applyFont="1" applyBorder="1" applyAlignment="1">
      <alignment horizontal="center" vertical="center" wrapText="1"/>
    </xf>
    <xf numFmtId="0" fontId="26" fillId="0" borderId="15" xfId="0" applyFont="1" applyBorder="1" applyAlignment="1">
      <alignment horizontal="center" vertical="center" wrapText="1"/>
    </xf>
    <xf numFmtId="0" fontId="26" fillId="0" borderId="18" xfId="0" applyFont="1" applyBorder="1" applyAlignment="1">
      <alignment horizontal="center" vertical="center" wrapText="1"/>
    </xf>
    <xf numFmtId="0" fontId="26" fillId="0" borderId="11" xfId="0" applyFont="1" applyBorder="1" applyAlignment="1">
      <alignment horizontal="left" vertical="center" wrapText="1"/>
    </xf>
    <xf numFmtId="0" fontId="26" fillId="0" borderId="18" xfId="0" applyFont="1" applyBorder="1" applyAlignment="1">
      <alignment horizontal="left" vertical="center" wrapText="1"/>
    </xf>
    <xf numFmtId="0" fontId="21" fillId="7" borderId="50" xfId="0" applyFont="1" applyFill="1" applyBorder="1" applyAlignment="1">
      <alignment horizontal="center" vertical="center" wrapText="1"/>
    </xf>
    <xf numFmtId="0" fontId="8" fillId="0" borderId="0" xfId="0" applyFont="1" applyAlignment="1">
      <alignment horizontal="left" wrapText="1"/>
    </xf>
    <xf numFmtId="0" fontId="44" fillId="14" borderId="19" xfId="0" applyFont="1" applyFill="1" applyBorder="1" applyAlignment="1">
      <alignment horizontal="center" vertical="center" wrapText="1"/>
    </xf>
    <xf numFmtId="0" fontId="44" fillId="14" borderId="20" xfId="0" applyFont="1" applyFill="1" applyBorder="1" applyAlignment="1">
      <alignment horizontal="center" vertical="center" wrapText="1"/>
    </xf>
    <xf numFmtId="0" fontId="8" fillId="0" borderId="153" xfId="0" applyFont="1" applyBorder="1" applyAlignment="1">
      <alignment horizontal="center" wrapText="1"/>
    </xf>
    <xf numFmtId="0" fontId="8" fillId="0" borderId="154" xfId="0" applyFont="1" applyBorder="1" applyAlignment="1">
      <alignment horizontal="center" wrapText="1"/>
    </xf>
    <xf numFmtId="0" fontId="15" fillId="9" borderId="12" xfId="0" applyFont="1" applyFill="1" applyBorder="1" applyAlignment="1">
      <alignment horizontal="center" vertical="center"/>
    </xf>
    <xf numFmtId="0" fontId="15" fillId="9" borderId="13" xfId="0" applyFont="1" applyFill="1" applyBorder="1" applyAlignment="1">
      <alignment horizontal="center" vertical="center"/>
    </xf>
    <xf numFmtId="0" fontId="15" fillId="9" borderId="14" xfId="0" applyFont="1" applyFill="1" applyBorder="1" applyAlignment="1">
      <alignment horizontal="center" vertical="center"/>
    </xf>
    <xf numFmtId="0" fontId="15" fillId="9" borderId="136" xfId="0" applyFont="1" applyFill="1" applyBorder="1" applyAlignment="1">
      <alignment horizontal="center" vertical="center" wrapText="1"/>
    </xf>
    <xf numFmtId="0" fontId="9" fillId="7" borderId="15" xfId="0" applyFont="1" applyFill="1" applyBorder="1" applyAlignment="1">
      <alignment horizontal="center" vertical="center"/>
    </xf>
    <xf numFmtId="0" fontId="9" fillId="7" borderId="3" xfId="0" applyFont="1" applyFill="1" applyBorder="1" applyAlignment="1">
      <alignment horizontal="center" vertical="center" wrapText="1"/>
    </xf>
    <xf numFmtId="0" fontId="9" fillId="7" borderId="9" xfId="0" applyFont="1" applyFill="1" applyBorder="1" applyAlignment="1">
      <alignment horizontal="center" vertical="center" wrapText="1"/>
    </xf>
    <xf numFmtId="0" fontId="9" fillId="7" borderId="10" xfId="0" applyFont="1" applyFill="1" applyBorder="1" applyAlignment="1">
      <alignment horizontal="center" vertical="center" wrapText="1"/>
    </xf>
    <xf numFmtId="0" fontId="8" fillId="0" borderId="50" xfId="0" applyFont="1" applyBorder="1" applyAlignment="1">
      <alignment horizontal="center" vertical="center" wrapText="1"/>
    </xf>
    <xf numFmtId="0" fontId="8" fillId="0" borderId="0" xfId="0" applyFont="1" applyAlignment="1">
      <alignment horizontal="center" vertical="center"/>
    </xf>
    <xf numFmtId="0" fontId="8" fillId="8" borderId="50" xfId="0" applyFont="1" applyFill="1" applyBorder="1" applyAlignment="1">
      <alignment horizontal="left" vertical="center"/>
    </xf>
    <xf numFmtId="0" fontId="15" fillId="9" borderId="50" xfId="0" applyFont="1" applyFill="1" applyBorder="1" applyAlignment="1">
      <alignment horizontal="center" vertical="center"/>
    </xf>
    <xf numFmtId="0" fontId="27" fillId="7" borderId="51" xfId="0" applyFont="1" applyFill="1" applyBorder="1" applyAlignment="1">
      <alignment horizontal="center" vertical="center" wrapText="1"/>
    </xf>
    <xf numFmtId="0" fontId="27" fillId="7" borderId="52" xfId="0" applyFont="1" applyFill="1" applyBorder="1" applyAlignment="1">
      <alignment horizontal="center" vertical="center" wrapText="1"/>
    </xf>
    <xf numFmtId="0" fontId="25" fillId="0" borderId="221" xfId="0" applyFont="1" applyBorder="1" applyAlignment="1">
      <alignment horizontal="center" vertical="center" wrapText="1"/>
    </xf>
    <xf numFmtId="0" fontId="25" fillId="0" borderId="217" xfId="0" applyFont="1" applyBorder="1" applyAlignment="1">
      <alignment horizontal="center" vertical="center" wrapText="1"/>
    </xf>
    <xf numFmtId="0" fontId="25" fillId="0" borderId="220" xfId="0" applyFont="1" applyBorder="1" applyAlignment="1">
      <alignment horizontal="center" vertical="center" wrapText="1"/>
    </xf>
    <xf numFmtId="0" fontId="25" fillId="0" borderId="214" xfId="0" applyFont="1" applyBorder="1" applyAlignment="1">
      <alignment horizontal="center" vertical="center" wrapText="1"/>
    </xf>
    <xf numFmtId="0" fontId="25" fillId="0" borderId="216" xfId="0" applyFont="1" applyBorder="1" applyAlignment="1">
      <alignment horizontal="center" vertical="center" wrapText="1"/>
    </xf>
    <xf numFmtId="0" fontId="25" fillId="0" borderId="226" xfId="0" applyFont="1" applyBorder="1" applyAlignment="1">
      <alignment horizontal="center" vertical="center" wrapText="1"/>
    </xf>
    <xf numFmtId="0" fontId="25" fillId="0" borderId="215" xfId="0" applyFont="1" applyBorder="1" applyAlignment="1">
      <alignment horizontal="center" vertical="center" wrapText="1"/>
    </xf>
    <xf numFmtId="0" fontId="9" fillId="7" borderId="0" xfId="0" applyFont="1" applyFill="1" applyAlignment="1">
      <alignment horizontal="center" vertical="center"/>
    </xf>
    <xf numFmtId="0" fontId="9" fillId="7" borderId="69" xfId="0" applyFont="1" applyFill="1" applyBorder="1" applyAlignment="1">
      <alignment horizontal="center" vertical="center"/>
    </xf>
    <xf numFmtId="0" fontId="25" fillId="0" borderId="163" xfId="0" applyFont="1" applyBorder="1" applyAlignment="1">
      <alignment horizontal="center" vertical="center"/>
    </xf>
    <xf numFmtId="0" fontId="25" fillId="0" borderId="15" xfId="0" applyFont="1" applyBorder="1" applyAlignment="1">
      <alignment horizontal="center" vertical="center"/>
    </xf>
    <xf numFmtId="0" fontId="25" fillId="0" borderId="197" xfId="0" applyFont="1" applyBorder="1" applyAlignment="1">
      <alignment horizontal="center" vertical="center"/>
    </xf>
    <xf numFmtId="0" fontId="25" fillId="0" borderId="200" xfId="0" applyFont="1" applyBorder="1" applyAlignment="1">
      <alignment horizontal="center" vertical="center" wrapText="1"/>
    </xf>
    <xf numFmtId="0" fontId="25" fillId="0" borderId="194" xfId="0" applyFont="1" applyBorder="1" applyAlignment="1">
      <alignment horizontal="center" vertical="center" wrapText="1"/>
    </xf>
    <xf numFmtId="0" fontId="25" fillId="0" borderId="203" xfId="0" applyFont="1" applyBorder="1" applyAlignment="1">
      <alignment horizontal="center" vertical="center" wrapText="1"/>
    </xf>
    <xf numFmtId="0" fontId="40" fillId="0" borderId="202" xfId="0" applyFont="1" applyBorder="1" applyAlignment="1">
      <alignment horizontal="center" vertical="center" wrapText="1"/>
    </xf>
    <xf numFmtId="0" fontId="40" fillId="0" borderId="195" xfId="0" applyFont="1" applyBorder="1" applyAlignment="1">
      <alignment horizontal="center" vertical="center" wrapText="1"/>
    </xf>
    <xf numFmtId="0" fontId="40" fillId="0" borderId="199" xfId="0" applyFont="1" applyBorder="1" applyAlignment="1">
      <alignment horizontal="center" vertical="center" wrapText="1"/>
    </xf>
    <xf numFmtId="0" fontId="25" fillId="0" borderId="222" xfId="0" applyFont="1" applyBorder="1" applyAlignment="1">
      <alignment horizontal="center" vertical="center" wrapText="1"/>
    </xf>
    <xf numFmtId="0" fontId="25" fillId="0" borderId="210" xfId="0" applyFont="1" applyBorder="1" applyAlignment="1">
      <alignment horizontal="center" vertical="center" wrapText="1"/>
    </xf>
    <xf numFmtId="0" fontId="25" fillId="0" borderId="224" xfId="0" applyFont="1" applyBorder="1" applyAlignment="1">
      <alignment horizontal="center" vertical="center" wrapText="1"/>
    </xf>
    <xf numFmtId="0" fontId="25" fillId="0" borderId="223" xfId="0" applyFont="1" applyBorder="1" applyAlignment="1">
      <alignment horizontal="center" vertical="center"/>
    </xf>
    <xf numFmtId="0" fontId="25" fillId="0" borderId="216" xfId="0" applyFont="1" applyBorder="1" applyAlignment="1">
      <alignment horizontal="center" vertical="center"/>
    </xf>
    <xf numFmtId="0" fontId="25" fillId="0" borderId="225" xfId="0" applyFont="1" applyBorder="1" applyAlignment="1">
      <alignment horizontal="center" vertical="center"/>
    </xf>
    <xf numFmtId="0" fontId="40" fillId="0" borderId="214" xfId="0" applyFont="1" applyBorder="1" applyAlignment="1">
      <alignment horizontal="center" vertical="center" wrapText="1"/>
    </xf>
    <xf numFmtId="0" fontId="40" fillId="0" borderId="216" xfId="0" applyFont="1" applyBorder="1" applyAlignment="1">
      <alignment horizontal="center" vertical="center" wrapText="1"/>
    </xf>
    <xf numFmtId="0" fontId="40" fillId="0" borderId="226" xfId="0" applyFont="1" applyBorder="1" applyAlignment="1">
      <alignment horizontal="center" vertical="center" wrapText="1"/>
    </xf>
    <xf numFmtId="0" fontId="40" fillId="0" borderId="255" xfId="0" applyFont="1" applyBorder="1" applyAlignment="1">
      <alignment horizontal="center" vertical="center" wrapText="1"/>
    </xf>
    <xf numFmtId="0" fontId="40" fillId="0" borderId="256" xfId="0" applyFont="1" applyBorder="1" applyAlignment="1">
      <alignment horizontal="center" vertical="center" wrapText="1"/>
    </xf>
    <xf numFmtId="0" fontId="40" fillId="0" borderId="257" xfId="0" applyFont="1" applyBorder="1" applyAlignment="1">
      <alignment horizontal="center" vertical="center" wrapText="1"/>
    </xf>
    <xf numFmtId="0" fontId="25" fillId="0" borderId="227" xfId="0" applyFont="1" applyBorder="1" applyAlignment="1">
      <alignment horizontal="center" vertical="center" wrapText="1"/>
    </xf>
    <xf numFmtId="0" fontId="25" fillId="0" borderId="209" xfId="0" applyFont="1" applyBorder="1" applyAlignment="1">
      <alignment horizontal="center" vertical="center" wrapText="1"/>
    </xf>
    <xf numFmtId="0" fontId="25" fillId="0" borderId="211" xfId="0" applyFont="1" applyBorder="1" applyAlignment="1">
      <alignment horizontal="center" vertical="center" wrapText="1"/>
    </xf>
    <xf numFmtId="0" fontId="25" fillId="0" borderId="1" xfId="0" applyFont="1" applyBorder="1" applyAlignment="1">
      <alignment horizontal="center" vertical="center" wrapText="1"/>
    </xf>
    <xf numFmtId="0" fontId="25" fillId="0" borderId="2" xfId="0" applyFont="1" applyBorder="1" applyAlignment="1">
      <alignment horizontal="center" vertical="center" wrapText="1"/>
    </xf>
    <xf numFmtId="0" fontId="25" fillId="0" borderId="27" xfId="0" applyFont="1" applyBorder="1" applyAlignment="1">
      <alignment horizontal="center" vertical="center" wrapText="1"/>
    </xf>
    <xf numFmtId="0" fontId="25" fillId="0" borderId="242" xfId="0" applyFont="1" applyBorder="1" applyAlignment="1">
      <alignment horizontal="center" vertical="center" wrapText="1"/>
    </xf>
    <xf numFmtId="0" fontId="25" fillId="0" borderId="246" xfId="0" applyFont="1" applyBorder="1" applyAlignment="1">
      <alignment horizontal="center" vertical="center" wrapText="1"/>
    </xf>
    <xf numFmtId="0" fontId="25" fillId="0" borderId="248" xfId="0" applyFont="1" applyBorder="1" applyAlignment="1">
      <alignment horizontal="center" vertical="center" wrapText="1"/>
    </xf>
    <xf numFmtId="0" fontId="61" fillId="0" borderId="0" xfId="0" applyFont="1" applyAlignment="1">
      <alignment horizontal="left" vertical="center" wrapText="1"/>
    </xf>
    <xf numFmtId="0" fontId="9" fillId="7" borderId="2" xfId="0" applyFont="1" applyFill="1" applyBorder="1" applyAlignment="1">
      <alignment horizontal="center" vertical="center"/>
    </xf>
    <xf numFmtId="0" fontId="9" fillId="7" borderId="11" xfId="0" applyFont="1" applyFill="1" applyBorder="1" applyAlignment="1">
      <alignment horizontal="center" vertical="center"/>
    </xf>
    <xf numFmtId="0" fontId="21" fillId="7" borderId="2" xfId="0" applyFont="1" applyFill="1" applyBorder="1" applyAlignment="1">
      <alignment horizontal="center" vertical="center" wrapText="1"/>
    </xf>
    <xf numFmtId="0" fontId="25" fillId="0" borderId="204" xfId="0" applyFont="1" applyBorder="1" applyAlignment="1">
      <alignment horizontal="center" vertical="center" wrapText="1"/>
    </xf>
    <xf numFmtId="0" fontId="25" fillId="0" borderId="198" xfId="0" applyFont="1" applyBorder="1" applyAlignment="1">
      <alignment horizontal="center" vertical="center" wrapText="1"/>
    </xf>
    <xf numFmtId="0" fontId="25" fillId="0" borderId="195" xfId="0" applyFont="1" applyBorder="1" applyAlignment="1">
      <alignment horizontal="center" vertical="center" wrapText="1"/>
    </xf>
    <xf numFmtId="0" fontId="25" fillId="0" borderId="201" xfId="0" applyFont="1" applyBorder="1" applyAlignment="1">
      <alignment horizontal="center" vertical="center" wrapText="1"/>
    </xf>
    <xf numFmtId="0" fontId="25" fillId="0" borderId="214" xfId="0" applyFont="1" applyBorder="1" applyAlignment="1">
      <alignment horizontal="center" vertical="center"/>
    </xf>
    <xf numFmtId="0" fontId="25" fillId="0" borderId="219" xfId="0" applyFont="1" applyBorder="1" applyAlignment="1">
      <alignment horizontal="center" vertical="center"/>
    </xf>
    <xf numFmtId="0" fontId="25" fillId="0" borderId="219" xfId="0" applyFont="1" applyBorder="1" applyAlignment="1">
      <alignment horizontal="center" vertical="center" wrapText="1"/>
    </xf>
    <xf numFmtId="0" fontId="40" fillId="0" borderId="215" xfId="0" applyFont="1" applyBorder="1" applyAlignment="1">
      <alignment horizontal="center" vertical="center" wrapText="1"/>
    </xf>
    <xf numFmtId="0" fontId="40" fillId="0" borderId="217" xfId="0" applyFont="1" applyBorder="1" applyAlignment="1">
      <alignment horizontal="center" vertical="center" wrapText="1"/>
    </xf>
    <xf numFmtId="0" fontId="40" fillId="0" borderId="220" xfId="0" applyFont="1" applyBorder="1" applyAlignment="1">
      <alignment horizontal="center" vertical="center" wrapText="1"/>
    </xf>
    <xf numFmtId="0" fontId="25" fillId="0" borderId="243" xfId="0" applyFont="1" applyBorder="1" applyAlignment="1">
      <alignment horizontal="center" vertical="center"/>
    </xf>
    <xf numFmtId="0" fontId="25" fillId="0" borderId="249" xfId="0" applyFont="1" applyBorder="1" applyAlignment="1">
      <alignment horizontal="center" vertical="center"/>
    </xf>
    <xf numFmtId="0" fontId="25" fillId="0" borderId="244" xfId="0" applyFont="1" applyBorder="1" applyAlignment="1">
      <alignment horizontal="center" vertical="center" wrapText="1"/>
    </xf>
    <xf numFmtId="0" fontId="25" fillId="0" borderId="250" xfId="0" applyFont="1" applyBorder="1" applyAlignment="1">
      <alignment horizontal="center" vertical="center" wrapText="1"/>
    </xf>
    <xf numFmtId="0" fontId="25" fillId="0" borderId="228" xfId="0" applyFont="1" applyBorder="1" applyAlignment="1">
      <alignment horizontal="center" vertical="center" wrapText="1"/>
    </xf>
    <xf numFmtId="0" fontId="25" fillId="0" borderId="218" xfId="0" applyFont="1" applyBorder="1" applyAlignment="1">
      <alignment horizontal="center" vertical="center" wrapText="1"/>
    </xf>
    <xf numFmtId="0" fontId="25" fillId="0" borderId="11" xfId="0" applyFont="1" applyBorder="1" applyAlignment="1">
      <alignment horizontal="center" vertical="center" wrapText="1"/>
    </xf>
    <xf numFmtId="0" fontId="15" fillId="9" borderId="21" xfId="0" applyFont="1" applyFill="1" applyBorder="1" applyAlignment="1">
      <alignment horizontal="center" vertical="center" wrapText="1"/>
    </xf>
    <xf numFmtId="0" fontId="25" fillId="0" borderId="255" xfId="0" applyFont="1" applyBorder="1" applyAlignment="1">
      <alignment horizontal="center" vertical="center" wrapText="1"/>
    </xf>
    <xf numFmtId="0" fontId="25" fillId="0" borderId="256" xfId="0" applyFont="1" applyBorder="1" applyAlignment="1">
      <alignment horizontal="center" vertical="center" wrapText="1"/>
    </xf>
    <xf numFmtId="0" fontId="25" fillId="0" borderId="257" xfId="0" applyFont="1" applyBorder="1" applyAlignment="1">
      <alignment horizontal="center" vertical="center" wrapText="1"/>
    </xf>
    <xf numFmtId="0" fontId="25" fillId="0" borderId="261" xfId="0" applyFont="1" applyBorder="1" applyAlignment="1">
      <alignment horizontal="center" vertical="center" wrapText="1"/>
    </xf>
    <xf numFmtId="0" fontId="25" fillId="0" borderId="205" xfId="0" applyFont="1" applyBorder="1" applyAlignment="1">
      <alignment horizontal="center" vertical="center" wrapText="1"/>
    </xf>
    <xf numFmtId="0" fontId="25" fillId="0" borderId="206" xfId="0" applyFont="1" applyBorder="1" applyAlignment="1">
      <alignment horizontal="center" vertical="center" wrapText="1"/>
    </xf>
    <xf numFmtId="0" fontId="25" fillId="0" borderId="207" xfId="0" applyFont="1" applyBorder="1" applyAlignment="1">
      <alignment horizontal="center" vertical="center" wrapText="1"/>
    </xf>
    <xf numFmtId="0" fontId="25" fillId="0" borderId="212" xfId="0" applyFont="1" applyBorder="1" applyAlignment="1">
      <alignment horizontal="center" vertical="center"/>
    </xf>
    <xf numFmtId="0" fontId="25" fillId="0" borderId="213" xfId="0" applyFont="1" applyBorder="1" applyAlignment="1">
      <alignment horizontal="center" vertical="center" wrapText="1"/>
    </xf>
    <xf numFmtId="0" fontId="25" fillId="0" borderId="191" xfId="0" applyFont="1" applyBorder="1" applyAlignment="1">
      <alignment horizontal="center" vertical="center" wrapText="1"/>
    </xf>
    <xf numFmtId="0" fontId="25" fillId="0" borderId="193" xfId="0" applyFont="1" applyBorder="1" applyAlignment="1">
      <alignment horizontal="center" vertical="center" wrapText="1"/>
    </xf>
    <xf numFmtId="0" fontId="25" fillId="0" borderId="196" xfId="0" applyFont="1" applyBorder="1" applyAlignment="1">
      <alignment horizontal="center" vertical="center" wrapText="1"/>
    </xf>
    <xf numFmtId="0" fontId="25" fillId="0" borderId="208" xfId="0" applyFont="1" applyBorder="1" applyAlignment="1">
      <alignment horizontal="center" vertical="center" wrapText="1"/>
    </xf>
    <xf numFmtId="0" fontId="25" fillId="0" borderId="252" xfId="0" applyFont="1" applyBorder="1" applyAlignment="1">
      <alignment horizontal="center" vertical="center" wrapText="1"/>
    </xf>
    <xf numFmtId="0" fontId="25" fillId="0" borderId="161" xfId="0" applyFont="1" applyBorder="1" applyAlignment="1">
      <alignment horizontal="center" vertical="center" wrapText="1"/>
    </xf>
    <xf numFmtId="0" fontId="25" fillId="0" borderId="157" xfId="0" applyFont="1" applyBorder="1" applyAlignment="1">
      <alignment horizontal="center" vertical="center" wrapText="1"/>
    </xf>
    <xf numFmtId="0" fontId="25" fillId="0" borderId="174" xfId="0" applyFont="1" applyBorder="1" applyAlignment="1">
      <alignment horizontal="center" vertical="center" wrapText="1"/>
    </xf>
    <xf numFmtId="0" fontId="25" fillId="0" borderId="186" xfId="0" applyFont="1" applyBorder="1" applyAlignment="1">
      <alignment horizontal="center" vertical="center" wrapText="1"/>
    </xf>
    <xf numFmtId="0" fontId="25" fillId="0" borderId="171" xfId="0" applyFont="1" applyBorder="1" applyAlignment="1">
      <alignment horizontal="center" vertical="center" wrapText="1"/>
    </xf>
    <xf numFmtId="0" fontId="25" fillId="0" borderId="190" xfId="0" applyFont="1" applyBorder="1" applyAlignment="1">
      <alignment horizontal="center" vertical="center" wrapText="1"/>
    </xf>
    <xf numFmtId="0" fontId="25" fillId="0" borderId="185" xfId="0" applyFont="1" applyBorder="1" applyAlignment="1">
      <alignment horizontal="center" vertical="center" wrapText="1"/>
    </xf>
    <xf numFmtId="0" fontId="25" fillId="0" borderId="188" xfId="0" applyFont="1" applyBorder="1" applyAlignment="1">
      <alignment horizontal="center" vertical="center" wrapText="1"/>
    </xf>
    <xf numFmtId="0" fontId="25" fillId="0" borderId="189" xfId="0" applyFont="1" applyBorder="1" applyAlignment="1">
      <alignment horizontal="center" vertical="center" wrapText="1"/>
    </xf>
    <xf numFmtId="0" fontId="25" fillId="0" borderId="159" xfId="0" applyFont="1" applyBorder="1" applyAlignment="1">
      <alignment horizontal="center" vertical="center" wrapText="1"/>
    </xf>
    <xf numFmtId="0" fontId="25" fillId="0" borderId="182" xfId="0" applyFont="1" applyBorder="1" applyAlignment="1">
      <alignment horizontal="center" vertical="center" wrapText="1"/>
    </xf>
    <xf numFmtId="0" fontId="25" fillId="0" borderId="183" xfId="0" applyFont="1" applyBorder="1" applyAlignment="1">
      <alignment horizontal="center" vertical="center" wrapText="1"/>
    </xf>
    <xf numFmtId="0" fontId="25" fillId="0" borderId="184" xfId="0" applyFont="1" applyBorder="1" applyAlignment="1">
      <alignment horizontal="center" vertical="center" wrapText="1"/>
    </xf>
    <xf numFmtId="0" fontId="25" fillId="0" borderId="167" xfId="0" applyFont="1" applyBorder="1" applyAlignment="1">
      <alignment horizontal="center" vertical="center"/>
    </xf>
    <xf numFmtId="0" fontId="25" fillId="0" borderId="50" xfId="0" applyFont="1" applyBorder="1" applyAlignment="1">
      <alignment horizontal="center" vertical="center"/>
    </xf>
    <xf numFmtId="0" fontId="25" fillId="0" borderId="165" xfId="0" applyFont="1" applyBorder="1" applyAlignment="1">
      <alignment horizontal="center" vertical="center"/>
    </xf>
    <xf numFmtId="0" fontId="25" fillId="0" borderId="167" xfId="0" applyFont="1" applyBorder="1" applyAlignment="1">
      <alignment horizontal="center" vertical="center" wrapText="1"/>
    </xf>
    <xf numFmtId="0" fontId="25" fillId="0" borderId="158" xfId="0" applyFont="1" applyBorder="1" applyAlignment="1">
      <alignment horizontal="center" vertical="center" wrapText="1"/>
    </xf>
    <xf numFmtId="0" fontId="25" fillId="0" borderId="164" xfId="0" applyFont="1" applyBorder="1" applyAlignment="1">
      <alignment horizontal="center" vertical="center" wrapText="1"/>
    </xf>
    <xf numFmtId="0" fontId="25" fillId="0" borderId="245" xfId="0" applyFont="1" applyBorder="1" applyAlignment="1">
      <alignment horizontal="center" vertical="center" wrapText="1"/>
    </xf>
    <xf numFmtId="0" fontId="25" fillId="0" borderId="247" xfId="0" applyFont="1" applyBorder="1" applyAlignment="1">
      <alignment horizontal="center" vertical="center" wrapText="1"/>
    </xf>
    <xf numFmtId="0" fontId="25" fillId="0" borderId="251" xfId="0" applyFont="1" applyBorder="1" applyAlignment="1">
      <alignment horizontal="center" vertical="center" wrapText="1"/>
    </xf>
    <xf numFmtId="0" fontId="25" fillId="0" borderId="253" xfId="0" applyFont="1" applyBorder="1" applyAlignment="1">
      <alignment horizontal="center" vertical="center" wrapText="1"/>
    </xf>
    <xf numFmtId="0" fontId="25" fillId="0" borderId="254" xfId="0" applyFont="1" applyBorder="1" applyAlignment="1">
      <alignment horizontal="center" vertical="center" wrapText="1"/>
    </xf>
    <xf numFmtId="0" fontId="25" fillId="0" borderId="230" xfId="0" applyFont="1" applyBorder="1" applyAlignment="1">
      <alignment horizontal="center" vertical="center" wrapText="1"/>
    </xf>
    <xf numFmtId="0" fontId="25" fillId="0" borderId="235" xfId="0" applyFont="1" applyBorder="1" applyAlignment="1">
      <alignment horizontal="center" vertical="center" wrapText="1"/>
    </xf>
    <xf numFmtId="0" fontId="25" fillId="0" borderId="259" xfId="0" applyFont="1" applyBorder="1" applyAlignment="1">
      <alignment horizontal="center" vertical="center" wrapText="1"/>
    </xf>
    <xf numFmtId="0" fontId="25" fillId="0" borderId="260" xfId="0" applyFont="1" applyBorder="1" applyAlignment="1">
      <alignment horizontal="center" vertical="center" wrapText="1"/>
    </xf>
    <xf numFmtId="0" fontId="25" fillId="0" borderId="175" xfId="0" applyFont="1" applyBorder="1" applyAlignment="1">
      <alignment horizontal="center" vertical="center" wrapText="1"/>
    </xf>
    <xf numFmtId="0" fontId="25" fillId="0" borderId="177" xfId="0" applyFont="1" applyBorder="1" applyAlignment="1">
      <alignment horizontal="center" vertical="center" wrapText="1"/>
    </xf>
    <xf numFmtId="0" fontId="25" fillId="0" borderId="178" xfId="0" applyFont="1" applyBorder="1" applyAlignment="1">
      <alignment horizontal="center" vertical="center" wrapText="1"/>
    </xf>
    <xf numFmtId="0" fontId="25" fillId="0" borderId="155" xfId="0" applyFont="1" applyBorder="1" applyAlignment="1">
      <alignment horizontal="center" vertical="center"/>
    </xf>
    <xf numFmtId="0" fontId="25" fillId="0" borderId="179" xfId="0" applyFont="1" applyBorder="1" applyAlignment="1">
      <alignment horizontal="center" vertical="center"/>
    </xf>
    <xf numFmtId="0" fontId="25" fillId="0" borderId="155" xfId="0" applyFont="1" applyBorder="1" applyAlignment="1">
      <alignment horizontal="center" vertical="center" wrapText="1"/>
    </xf>
    <xf numFmtId="0" fontId="25" fillId="0" borderId="156" xfId="0" applyFont="1" applyBorder="1" applyAlignment="1">
      <alignment horizontal="center" vertical="center" wrapText="1"/>
    </xf>
    <xf numFmtId="0" fontId="25" fillId="0" borderId="160" xfId="0" applyFont="1" applyBorder="1" applyAlignment="1">
      <alignment horizontal="center" vertical="center" wrapText="1"/>
    </xf>
    <xf numFmtId="0" fontId="25" fillId="0" borderId="237" xfId="0" applyFont="1" applyBorder="1" applyAlignment="1">
      <alignment horizontal="center" vertical="center" wrapText="1"/>
    </xf>
    <xf numFmtId="0" fontId="25" fillId="0" borderId="238" xfId="0" applyFont="1" applyBorder="1" applyAlignment="1">
      <alignment horizontal="center" vertical="center" wrapText="1"/>
    </xf>
    <xf numFmtId="0" fontId="25" fillId="0" borderId="239" xfId="0" applyFont="1" applyBorder="1" applyAlignment="1">
      <alignment horizontal="center" vertical="center" wrapText="1"/>
    </xf>
    <xf numFmtId="0" fontId="25" fillId="0" borderId="192" xfId="0" applyFont="1" applyBorder="1" applyAlignment="1">
      <alignment horizontal="center" vertical="center" wrapText="1"/>
    </xf>
    <xf numFmtId="0" fontId="25" fillId="0" borderId="199" xfId="0" applyFont="1" applyBorder="1" applyAlignment="1">
      <alignment horizontal="center" vertical="center" wrapText="1"/>
    </xf>
    <xf numFmtId="0" fontId="26" fillId="0" borderId="2" xfId="0" applyFont="1" applyBorder="1" applyAlignment="1">
      <alignment horizontal="center" vertical="center"/>
    </xf>
    <xf numFmtId="0" fontId="15" fillId="9" borderId="2" xfId="0" applyFont="1" applyFill="1" applyBorder="1" applyAlignment="1">
      <alignment horizontal="center" vertical="center"/>
    </xf>
    <xf numFmtId="0" fontId="44" fillId="14" borderId="2" xfId="0" applyFont="1" applyFill="1" applyBorder="1" applyAlignment="1">
      <alignment horizontal="center" vertical="center"/>
    </xf>
    <xf numFmtId="9" fontId="8" fillId="0" borderId="50" xfId="2" applyFont="1" applyFill="1" applyBorder="1" applyAlignment="1">
      <alignment horizontal="center" vertical="center"/>
    </xf>
    <xf numFmtId="0" fontId="8" fillId="0" borderId="50" xfId="0" applyFont="1" applyBorder="1" applyAlignment="1">
      <alignment horizontal="center" vertical="center"/>
    </xf>
    <xf numFmtId="0" fontId="27" fillId="7" borderId="50" xfId="0" applyFont="1" applyFill="1" applyBorder="1" applyAlignment="1">
      <alignment horizontal="center" vertical="center"/>
    </xf>
    <xf numFmtId="0" fontId="0" fillId="0" borderId="0" xfId="0" applyAlignment="1">
      <alignment horizontal="center"/>
    </xf>
  </cellXfs>
  <cellStyles count="56">
    <cellStyle name="20% - Accent1" xfId="29" builtinId="30" customBuiltin="1"/>
    <cellStyle name="20% - Accent2" xfId="32" builtinId="34" customBuiltin="1"/>
    <cellStyle name="20% - Accent3" xfId="35" builtinId="38" customBuiltin="1"/>
    <cellStyle name="20% - Accent4" xfId="38" builtinId="42" customBuiltin="1"/>
    <cellStyle name="20% - Accent5" xfId="41" builtinId="46" customBuiltin="1"/>
    <cellStyle name="20% - Accent6" xfId="44" builtinId="50" customBuiltin="1"/>
    <cellStyle name="40% - Accent1" xfId="30" builtinId="31" customBuiltin="1"/>
    <cellStyle name="40% - Accent2" xfId="33" builtinId="35" customBuiltin="1"/>
    <cellStyle name="40% - Accent3" xfId="36" builtinId="39" customBuiltin="1"/>
    <cellStyle name="40% - Accent4" xfId="39" builtinId="43" customBuiltin="1"/>
    <cellStyle name="40% - Accent5" xfId="42" builtinId="47" customBuiltin="1"/>
    <cellStyle name="40% - Accent6" xfId="45" builtinId="51" customBuiltin="1"/>
    <cellStyle name="60% - Accent1 2" xfId="48" xr:uid="{742F182D-DE19-4ABD-8125-542911AC2871}"/>
    <cellStyle name="60% - Accent2 2" xfId="49" xr:uid="{C203D7A7-4D1E-4E4D-9A55-425F304335D3}"/>
    <cellStyle name="60% - Accent3 2" xfId="50" xr:uid="{D575A5F1-76FC-4DEE-A89E-DFDABCBF86AA}"/>
    <cellStyle name="60% - Accent4 2" xfId="51" xr:uid="{D57D9030-641B-49DF-B44E-F0A7AC7C8BB7}"/>
    <cellStyle name="60% - Accent5 2" xfId="52" xr:uid="{EA6BFE8E-04CA-4DDE-A801-C5177F36DCFD}"/>
    <cellStyle name="60% - Accent6 2" xfId="53" xr:uid="{B263CC10-573D-4AC3-9866-0BC54A3DA634}"/>
    <cellStyle name="Accent1" xfId="28" builtinId="29" customBuiltin="1"/>
    <cellStyle name="Accent2" xfId="31" builtinId="33" customBuiltin="1"/>
    <cellStyle name="Accent3" xfId="34" builtinId="37" customBuiltin="1"/>
    <cellStyle name="Accent4" xfId="37" builtinId="41" customBuiltin="1"/>
    <cellStyle name="Accent5" xfId="40" builtinId="45" customBuiltin="1"/>
    <cellStyle name="Accent6" xfId="43" builtinId="49" customBuiltin="1"/>
    <cellStyle name="Bad" xfId="18" builtinId="27" customBuiltin="1"/>
    <cellStyle name="Calculation" xfId="21" builtinId="22" customBuiltin="1"/>
    <cellStyle name="Check Cell" xfId="23" builtinId="23" customBuiltin="1"/>
    <cellStyle name="Comma" xfId="6" builtinId="3"/>
    <cellStyle name="Explanatory Text" xfId="26" builtinId="53" customBuiltin="1"/>
    <cellStyle name="Good" xfId="17" builtinId="26" customBuiltin="1"/>
    <cellStyle name="Heading 1" xfId="13" builtinId="16" customBuiltin="1"/>
    <cellStyle name="Heading 2" xfId="14" builtinId="17" customBuiltin="1"/>
    <cellStyle name="Heading 3" xfId="15" builtinId="18" customBuiltin="1"/>
    <cellStyle name="Heading 4" xfId="16" builtinId="19" customBuiltin="1"/>
    <cellStyle name="Hyperlink" xfId="5" builtinId="8"/>
    <cellStyle name="Hyperlink 2" xfId="10" xr:uid="{10C1E3C0-F46B-4E25-BD9A-EE5D62F88FF2}"/>
    <cellStyle name="Input" xfId="19" builtinId="20" customBuiltin="1"/>
    <cellStyle name="Linked Cell" xfId="22" builtinId="24" customBuiltin="1"/>
    <cellStyle name="Neutral 2" xfId="47" xr:uid="{65990A78-3418-4385-8A90-6596C12444EC}"/>
    <cellStyle name="Normal" xfId="0" builtinId="0"/>
    <cellStyle name="Normal 2" xfId="3" xr:uid="{E38C2638-0821-4BB2-9C33-A89D3950ADA6}"/>
    <cellStyle name="Normal 2 2" xfId="4" xr:uid="{7604919E-E68F-4366-A693-6A7B8B8DA661}"/>
    <cellStyle name="Normal 2 3" xfId="9" xr:uid="{8A1E39CD-7ABA-4D79-A464-67010D1209C1}"/>
    <cellStyle name="Normal 2 4" xfId="55" xr:uid="{AE4B3509-A26F-46BA-8AEA-0889CC1E7DEC}"/>
    <cellStyle name="Normal 3" xfId="7" xr:uid="{1C10DAE4-4F9C-4E19-81E4-5574511A6741}"/>
    <cellStyle name="Normal 4" xfId="11" xr:uid="{43272557-B37F-4996-BC18-AA3EDEAFA379}"/>
    <cellStyle name="Normal 5" xfId="12" xr:uid="{642BE191-BE2F-4847-8420-1C59B95E270E}"/>
    <cellStyle name="Normal 6" xfId="54" xr:uid="{40F62795-0E60-4B52-B70B-B046DFB737FF}"/>
    <cellStyle name="Normal_Prototype_Scorecard-LgOffice-2008-03-13" xfId="1" xr:uid="{F839F8A1-86E5-4008-9801-0F032E8A3317}"/>
    <cellStyle name="Note" xfId="25" builtinId="10" customBuiltin="1"/>
    <cellStyle name="Output" xfId="20" builtinId="21" customBuiltin="1"/>
    <cellStyle name="Percent" xfId="2" builtinId="5"/>
    <cellStyle name="Percent 2" xfId="8" xr:uid="{CB789C3E-741F-4464-8065-385A956411E6}"/>
    <cellStyle name="Title 2" xfId="46" xr:uid="{3F21AD8F-936B-4DFB-B4CB-549B9F2D7A8B}"/>
    <cellStyle name="Total" xfId="27" builtinId="25" customBuiltin="1"/>
    <cellStyle name="Warning Text" xfId="24" builtinId="11" customBuiltin="1"/>
  </cellStyles>
  <dxfs count="7">
    <dxf>
      <font>
        <b/>
        <i val="0"/>
      </font>
      <fill>
        <patternFill>
          <bgColor theme="0" tint="-0.14996795556505021"/>
        </patternFill>
      </fill>
      <border>
        <left style="thin">
          <color auto="1"/>
        </left>
        <right style="thin">
          <color auto="1"/>
        </right>
        <top style="thin">
          <color auto="1"/>
        </top>
        <bottom style="thin">
          <color auto="1"/>
        </bottom>
        <vertical/>
        <horizontal style="thin">
          <color auto="1"/>
        </horizontal>
      </border>
    </dxf>
    <dxf>
      <font>
        <b/>
        <i val="0"/>
      </font>
      <fill>
        <patternFill>
          <bgColor theme="0" tint="-0.14996795556505021"/>
        </patternFill>
      </fill>
      <border>
        <left style="thin">
          <color auto="1"/>
        </left>
        <right style="thin">
          <color auto="1"/>
        </right>
        <top style="thin">
          <color auto="1"/>
        </top>
        <bottom style="thin">
          <color auto="1"/>
        </bottom>
        <vertical style="thin">
          <color auto="1"/>
        </vertical>
        <horizontal style="thin">
          <color auto="1"/>
        </horizontal>
      </border>
    </dxf>
    <dxf>
      <font>
        <b/>
        <i val="0"/>
      </font>
    </dxf>
    <dxf>
      <font>
        <b/>
        <i val="0"/>
      </font>
    </dxf>
    <dxf>
      <font>
        <b/>
        <i val="0"/>
      </font>
      <border diagonalDown="1">
        <left style="thin">
          <color auto="1"/>
        </left>
        <right style="thin">
          <color auto="1"/>
        </right>
        <top style="thin">
          <color auto="1"/>
        </top>
        <bottom style="thin">
          <color auto="1"/>
        </bottom>
        <diagonal style="thin">
          <color auto="1"/>
        </diagonal>
        <vertical style="thin">
          <color auto="1"/>
        </vertical>
        <horizontal style="thin">
          <color auto="1"/>
        </horizontal>
      </border>
    </dxf>
    <dxf>
      <font>
        <b/>
        <i val="0"/>
      </font>
      <fill>
        <patternFill>
          <bgColor theme="0" tint="-0.14996795556505021"/>
        </patternFill>
      </fill>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border>
    </dxf>
  </dxfs>
  <tableStyles count="1" defaultTableStyle="TableStyleMedium2" defaultPivotStyle="PivotStyleLight16">
    <tableStyle name="PivotTable Style_MFA1" table="0" count="7" xr9:uid="{14E84246-083A-4927-8273-A88944943105}">
      <tableStyleElement type="wholeTable" dxfId="6"/>
      <tableStyleElement type="headerRow" dxfId="5"/>
      <tableStyleElement type="totalRow" dxfId="4"/>
      <tableStyleElement type="firstColumn" dxfId="3"/>
      <tableStyleElement type="lastColumn" dxfId="2"/>
      <tableStyleElement type="pageFieldLabels" dxfId="1"/>
      <tableStyleElement type="pageFieldValues" dxfId="0"/>
    </tableStyle>
  </tableStyles>
  <colors>
    <mruColors>
      <color rgb="FF0000CC"/>
      <color rgb="FFFF9900"/>
      <color rgb="FFCCCCFF"/>
      <color rgb="FF8238BA"/>
      <color rgb="FFFFEBCD"/>
      <color rgb="FF002F8E"/>
      <color rgb="FF2E9F17"/>
      <color rgb="FFFFFAF3"/>
      <color rgb="FF2DC8FF"/>
      <color rgb="FF00113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sheetMetadata" Target="metadata.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microsoft.com/office/2017/06/relationships/rdRichValueTypes" Target="richData/rdRichValueTyp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Structure" Target="richData/rdrichvaluestructure.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 Target="richData/rdrichvalue.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22/10/relationships/richValueRel" Target="richData/richValueRel.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Schedules!$C$7</c:f>
          <c:strCache>
            <c:ptCount val="1"/>
            <c:pt idx="0">
              <c:v>Lights</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Schedules!$E$7</c:f>
              <c:strCache>
                <c:ptCount val="1"/>
                <c:pt idx="0">
                  <c:v>Weekday</c:v>
                </c:pt>
              </c:strCache>
            </c:strRef>
          </c:tx>
          <c:spPr>
            <a:ln w="28575" cap="rnd">
              <a:solidFill>
                <a:schemeClr val="accent1"/>
              </a:solidFill>
              <a:round/>
            </a:ln>
            <a:effectLst/>
          </c:spPr>
          <c:marker>
            <c:symbol val="none"/>
          </c:marker>
          <c:val>
            <c:numRef>
              <c:f>Schedules!$F$7:$AC$7</c:f>
              <c:numCache>
                <c:formatCode>0.00</c:formatCode>
                <c:ptCount val="24"/>
                <c:pt idx="0">
                  <c:v>0.05</c:v>
                </c:pt>
                <c:pt idx="1">
                  <c:v>0.05</c:v>
                </c:pt>
                <c:pt idx="2">
                  <c:v>0.05</c:v>
                </c:pt>
                <c:pt idx="3">
                  <c:v>0.05</c:v>
                </c:pt>
                <c:pt idx="4">
                  <c:v>0.05</c:v>
                </c:pt>
                <c:pt idx="5">
                  <c:v>0.45</c:v>
                </c:pt>
                <c:pt idx="6">
                  <c:v>0.55000000000000004</c:v>
                </c:pt>
                <c:pt idx="7">
                  <c:v>0.55000000000000004</c:v>
                </c:pt>
                <c:pt idx="8">
                  <c:v>0.55000000000000004</c:v>
                </c:pt>
                <c:pt idx="9">
                  <c:v>0.55000000000000004</c:v>
                </c:pt>
                <c:pt idx="10">
                  <c:v>0.55000000000000004</c:v>
                </c:pt>
                <c:pt idx="11">
                  <c:v>0.55000000000000004</c:v>
                </c:pt>
                <c:pt idx="12">
                  <c:v>0.55000000000000004</c:v>
                </c:pt>
                <c:pt idx="13">
                  <c:v>0.55000000000000004</c:v>
                </c:pt>
                <c:pt idx="14">
                  <c:v>0.55000000000000004</c:v>
                </c:pt>
                <c:pt idx="15">
                  <c:v>0.55000000000000004</c:v>
                </c:pt>
                <c:pt idx="16">
                  <c:v>0.3</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0-2801-4868-A297-9CE8C024DA05}"/>
            </c:ext>
          </c:extLst>
        </c:ser>
        <c:ser>
          <c:idx val="1"/>
          <c:order val="1"/>
          <c:tx>
            <c:strRef>
              <c:f>Schedules!$E$8</c:f>
              <c:strCache>
                <c:ptCount val="1"/>
                <c:pt idx="0">
                  <c:v>Saturday</c:v>
                </c:pt>
              </c:strCache>
            </c:strRef>
          </c:tx>
          <c:spPr>
            <a:ln w="28575" cap="rnd">
              <a:solidFill>
                <a:schemeClr val="accent2"/>
              </a:solidFill>
              <a:round/>
            </a:ln>
            <a:effectLst/>
          </c:spPr>
          <c:marker>
            <c:symbol val="none"/>
          </c:marker>
          <c:val>
            <c:numRef>
              <c:f>Schedules!$F$8:$AC$8</c:f>
              <c:numCache>
                <c:formatCode>0.00</c:formatCode>
                <c:ptCount val="24"/>
                <c:pt idx="0">
                  <c:v>0.05</c:v>
                </c:pt>
                <c:pt idx="1">
                  <c:v>0.05</c:v>
                </c:pt>
                <c:pt idx="2">
                  <c:v>0.05</c:v>
                </c:pt>
                <c:pt idx="3">
                  <c:v>0.05</c:v>
                </c:pt>
                <c:pt idx="4">
                  <c:v>0.05</c:v>
                </c:pt>
                <c:pt idx="5">
                  <c:v>0.45</c:v>
                </c:pt>
                <c:pt idx="6">
                  <c:v>0.55000000000000004</c:v>
                </c:pt>
                <c:pt idx="7">
                  <c:v>0.55000000000000004</c:v>
                </c:pt>
                <c:pt idx="8">
                  <c:v>0.55000000000000004</c:v>
                </c:pt>
                <c:pt idx="9">
                  <c:v>0.55000000000000004</c:v>
                </c:pt>
                <c:pt idx="10">
                  <c:v>0.55000000000000004</c:v>
                </c:pt>
                <c:pt idx="11">
                  <c:v>0.55000000000000004</c:v>
                </c:pt>
                <c:pt idx="12">
                  <c:v>0.55000000000000004</c:v>
                </c:pt>
                <c:pt idx="13">
                  <c:v>0.55000000000000004</c:v>
                </c:pt>
                <c:pt idx="14">
                  <c:v>0.55000000000000004</c:v>
                </c:pt>
                <c:pt idx="15">
                  <c:v>0.55000000000000004</c:v>
                </c:pt>
                <c:pt idx="16">
                  <c:v>0.3</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1-2801-4868-A297-9CE8C024DA05}"/>
            </c:ext>
          </c:extLst>
        </c:ser>
        <c:ser>
          <c:idx val="2"/>
          <c:order val="2"/>
          <c:tx>
            <c:strRef>
              <c:f>Schedules!$E$9</c:f>
              <c:strCache>
                <c:ptCount val="1"/>
                <c:pt idx="0">
                  <c:v>Sunday</c:v>
                </c:pt>
              </c:strCache>
            </c:strRef>
          </c:tx>
          <c:spPr>
            <a:ln w="28575" cap="rnd">
              <a:solidFill>
                <a:schemeClr val="accent3"/>
              </a:solidFill>
              <a:round/>
            </a:ln>
            <a:effectLst/>
          </c:spPr>
          <c:marker>
            <c:symbol val="none"/>
          </c:marker>
          <c:val>
            <c:numRef>
              <c:f>Schedules!$F$9:$AC$9</c:f>
              <c:numCache>
                <c:formatCode>0.00</c:formatCode>
                <c:ptCount val="24"/>
                <c:pt idx="0">
                  <c:v>0.05</c:v>
                </c:pt>
                <c:pt idx="1">
                  <c:v>0.05</c:v>
                </c:pt>
                <c:pt idx="2">
                  <c:v>0.05</c:v>
                </c:pt>
                <c:pt idx="3">
                  <c:v>0.05</c:v>
                </c:pt>
                <c:pt idx="4">
                  <c:v>0.05</c:v>
                </c:pt>
                <c:pt idx="5">
                  <c:v>0.05</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2-2801-4868-A297-9CE8C024DA0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Schedules!$C$57</c:f>
          <c:strCache>
            <c:ptCount val="1"/>
            <c:pt idx="0">
              <c:v>Occupancy</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Schedules!$E$57</c:f>
              <c:strCache>
                <c:ptCount val="1"/>
                <c:pt idx="0">
                  <c:v>Weekday</c:v>
                </c:pt>
              </c:strCache>
            </c:strRef>
          </c:tx>
          <c:spPr>
            <a:ln w="28575" cap="rnd">
              <a:solidFill>
                <a:schemeClr val="accent1"/>
              </a:solidFill>
              <a:round/>
            </a:ln>
            <a:effectLst/>
          </c:spPr>
          <c:marker>
            <c:symbol val="none"/>
          </c:marker>
          <c:val>
            <c:numRef>
              <c:f>Schedules!$F$57:$AC$57</c:f>
              <c:numCache>
                <c:formatCode>0.00</c:formatCode>
                <c:ptCount val="24"/>
                <c:pt idx="0">
                  <c:v>0</c:v>
                </c:pt>
                <c:pt idx="1">
                  <c:v>0</c:v>
                </c:pt>
                <c:pt idx="2">
                  <c:v>0</c:v>
                </c:pt>
                <c:pt idx="3">
                  <c:v>0</c:v>
                </c:pt>
                <c:pt idx="4">
                  <c:v>0</c:v>
                </c:pt>
                <c:pt idx="5">
                  <c:v>0</c:v>
                </c:pt>
                <c:pt idx="6">
                  <c:v>0.1</c:v>
                </c:pt>
                <c:pt idx="7">
                  <c:v>0.2</c:v>
                </c:pt>
                <c:pt idx="8">
                  <c:v>0.95</c:v>
                </c:pt>
                <c:pt idx="9">
                  <c:v>0.95</c:v>
                </c:pt>
                <c:pt idx="10">
                  <c:v>0.95</c:v>
                </c:pt>
                <c:pt idx="11">
                  <c:v>0.95</c:v>
                </c:pt>
                <c:pt idx="12">
                  <c:v>0.5</c:v>
                </c:pt>
                <c:pt idx="13">
                  <c:v>0.95</c:v>
                </c:pt>
                <c:pt idx="14">
                  <c:v>0.95</c:v>
                </c:pt>
                <c:pt idx="15">
                  <c:v>0.95</c:v>
                </c:pt>
                <c:pt idx="16">
                  <c:v>0.95</c:v>
                </c:pt>
                <c:pt idx="17">
                  <c:v>0.3</c:v>
                </c:pt>
                <c:pt idx="18">
                  <c:v>0.1</c:v>
                </c:pt>
                <c:pt idx="19">
                  <c:v>0.1</c:v>
                </c:pt>
                <c:pt idx="20">
                  <c:v>0.1</c:v>
                </c:pt>
                <c:pt idx="21">
                  <c:v>0.1</c:v>
                </c:pt>
                <c:pt idx="22">
                  <c:v>0.05</c:v>
                </c:pt>
                <c:pt idx="23">
                  <c:v>0.05</c:v>
                </c:pt>
              </c:numCache>
            </c:numRef>
          </c:val>
          <c:smooth val="0"/>
          <c:extLst>
            <c:ext xmlns:c16="http://schemas.microsoft.com/office/drawing/2014/chart" uri="{C3380CC4-5D6E-409C-BE32-E72D297353CC}">
              <c16:uniqueId val="{00000000-37C1-4D07-80BC-CB3AE2F28BC6}"/>
            </c:ext>
          </c:extLst>
        </c:ser>
        <c:ser>
          <c:idx val="1"/>
          <c:order val="1"/>
          <c:tx>
            <c:strRef>
              <c:f>Schedules!$E$58</c:f>
              <c:strCache>
                <c:ptCount val="1"/>
                <c:pt idx="0">
                  <c:v>Saturday</c:v>
                </c:pt>
              </c:strCache>
            </c:strRef>
          </c:tx>
          <c:spPr>
            <a:ln w="28575" cap="rnd">
              <a:solidFill>
                <a:schemeClr val="accent2"/>
              </a:solidFill>
              <a:round/>
            </a:ln>
            <a:effectLst/>
          </c:spPr>
          <c:marker>
            <c:symbol val="none"/>
          </c:marker>
          <c:val>
            <c:numRef>
              <c:f>Schedules!$F$58:$AC$58</c:f>
              <c:numCache>
                <c:formatCode>0.00</c:formatCode>
                <c:ptCount val="24"/>
                <c:pt idx="0">
                  <c:v>0</c:v>
                </c:pt>
                <c:pt idx="1">
                  <c:v>0</c:v>
                </c:pt>
                <c:pt idx="2">
                  <c:v>0</c:v>
                </c:pt>
                <c:pt idx="3">
                  <c:v>0</c:v>
                </c:pt>
                <c:pt idx="4">
                  <c:v>0</c:v>
                </c:pt>
                <c:pt idx="5">
                  <c:v>0</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1-37C1-4D07-80BC-CB3AE2F28BC6}"/>
            </c:ext>
          </c:extLst>
        </c:ser>
        <c:ser>
          <c:idx val="2"/>
          <c:order val="2"/>
          <c:tx>
            <c:strRef>
              <c:f>Schedules!$E$59</c:f>
              <c:strCache>
                <c:ptCount val="1"/>
                <c:pt idx="0">
                  <c:v>Sunday</c:v>
                </c:pt>
              </c:strCache>
            </c:strRef>
          </c:tx>
          <c:spPr>
            <a:ln w="28575" cap="rnd">
              <a:solidFill>
                <a:schemeClr val="accent3"/>
              </a:solidFill>
              <a:round/>
            </a:ln>
            <a:effectLst/>
          </c:spPr>
          <c:marker>
            <c:symbol val="none"/>
          </c:marker>
          <c:val>
            <c:numRef>
              <c:f>Schedules!$F$59:$AC$59</c:f>
              <c:numCache>
                <c:formatCode>0.00</c:formatCode>
                <c:ptCount val="24"/>
                <c:pt idx="0">
                  <c:v>0</c:v>
                </c:pt>
                <c:pt idx="1">
                  <c:v>0</c:v>
                </c:pt>
                <c:pt idx="2">
                  <c:v>0</c:v>
                </c:pt>
                <c:pt idx="3">
                  <c:v>0</c:v>
                </c:pt>
                <c:pt idx="4">
                  <c:v>0</c:v>
                </c:pt>
                <c:pt idx="5">
                  <c:v>0</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2-37C1-4D07-80BC-CB3AE2F28BC6}"/>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Schedules!$C$72</c:f>
          <c:strCache>
            <c:ptCount val="1"/>
            <c:pt idx="0">
              <c:v>Infiltration</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Schedules!$E$72</c:f>
              <c:strCache>
                <c:ptCount val="1"/>
                <c:pt idx="0">
                  <c:v>Weekday</c:v>
                </c:pt>
              </c:strCache>
            </c:strRef>
          </c:tx>
          <c:spPr>
            <a:ln w="28575" cap="rnd">
              <a:solidFill>
                <a:schemeClr val="accent1"/>
              </a:solidFill>
              <a:round/>
            </a:ln>
            <a:effectLst/>
          </c:spPr>
          <c:marker>
            <c:symbol val="none"/>
          </c:marker>
          <c:val>
            <c:numRef>
              <c:f>Schedules!$F$72:$AC$72</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12AC-4F55-879C-80C92EF74F31}"/>
            </c:ext>
          </c:extLst>
        </c:ser>
        <c:ser>
          <c:idx val="1"/>
          <c:order val="1"/>
          <c:tx>
            <c:strRef>
              <c:f>Schedules!$E$73</c:f>
              <c:strCache>
                <c:ptCount val="1"/>
                <c:pt idx="0">
                  <c:v>Saturday</c:v>
                </c:pt>
              </c:strCache>
            </c:strRef>
          </c:tx>
          <c:spPr>
            <a:ln w="28575" cap="rnd">
              <a:solidFill>
                <a:schemeClr val="accent2"/>
              </a:solidFill>
              <a:round/>
            </a:ln>
            <a:effectLst/>
          </c:spPr>
          <c:marker>
            <c:symbol val="none"/>
          </c:marker>
          <c:val>
            <c:numRef>
              <c:f>Schedules!$F$73:$AC$73</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1-12AC-4F55-879C-80C92EF74F31}"/>
            </c:ext>
          </c:extLst>
        </c:ser>
        <c:ser>
          <c:idx val="2"/>
          <c:order val="2"/>
          <c:tx>
            <c:strRef>
              <c:f>Schedules!$E$74</c:f>
              <c:strCache>
                <c:ptCount val="1"/>
                <c:pt idx="0">
                  <c:v>Sunday</c:v>
                </c:pt>
              </c:strCache>
            </c:strRef>
          </c:tx>
          <c:spPr>
            <a:ln w="28575" cap="rnd">
              <a:solidFill>
                <a:schemeClr val="accent3"/>
              </a:solidFill>
              <a:round/>
            </a:ln>
            <a:effectLst/>
          </c:spPr>
          <c:marker>
            <c:symbol val="none"/>
          </c:marker>
          <c:val>
            <c:numRef>
              <c:f>Schedules!$F$74:$AC$74</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2-12AC-4F55-879C-80C92EF74F31}"/>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r>
              <a:rPr lang="en-US" sz="1000" b="1" i="0" u="none" strike="noStrike" kern="1200" spc="0" baseline="0">
                <a:solidFill>
                  <a:sysClr val="windowText" lastClr="000000"/>
                </a:solidFill>
                <a:latin typeface="Arial" panose="020B0604020202020204" pitchFamily="34" charset="0"/>
                <a:cs typeface="Arial" panose="020B0604020202020204" pitchFamily="34" charset="0"/>
              </a:rPr>
              <a:t>Assembly Elevator</a:t>
            </a:r>
          </a:p>
        </c:rich>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spPr>
            <a:ln w="28575" cap="rnd">
              <a:solidFill>
                <a:schemeClr val="accent1"/>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0-01DF-4F16-99AF-01E1B8DDB62F}"/>
            </c:ext>
          </c:extLst>
        </c:ser>
        <c:ser>
          <c:idx val="1"/>
          <c:order val="1"/>
          <c:spPr>
            <a:ln w="28575" cap="rnd">
              <a:solidFill>
                <a:schemeClr val="accent2"/>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1-01DF-4F16-99AF-01E1B8DDB62F}"/>
            </c:ext>
          </c:extLst>
        </c:ser>
        <c:ser>
          <c:idx val="2"/>
          <c:order val="2"/>
          <c:spPr>
            <a:ln w="28575" cap="rnd">
              <a:solidFill>
                <a:schemeClr val="accent3"/>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2-01DF-4F16-99AF-01E1B8DDB62F}"/>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Schedules!$C$4</c:f>
          <c:strCache>
            <c:ptCount val="1"/>
            <c:pt idx="0">
              <c:v>Occupancy</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Schedules!$E$4</c:f>
              <c:strCache>
                <c:ptCount val="1"/>
                <c:pt idx="0">
                  <c:v>Weekday</c:v>
                </c:pt>
              </c:strCache>
            </c:strRef>
          </c:tx>
          <c:spPr>
            <a:ln w="28575" cap="rnd">
              <a:solidFill>
                <a:schemeClr val="accent1"/>
              </a:solidFill>
              <a:round/>
            </a:ln>
            <a:effectLst/>
          </c:spPr>
          <c:marker>
            <c:symbol val="none"/>
          </c:marker>
          <c:val>
            <c:numRef>
              <c:f>Schedules!$F$4:$AC$4</c:f>
              <c:numCache>
                <c:formatCode>0.00</c:formatCode>
                <c:ptCount val="24"/>
                <c:pt idx="0">
                  <c:v>0</c:v>
                </c:pt>
                <c:pt idx="1">
                  <c:v>0</c:v>
                </c:pt>
                <c:pt idx="2">
                  <c:v>0</c:v>
                </c:pt>
                <c:pt idx="3">
                  <c:v>0</c:v>
                </c:pt>
                <c:pt idx="4">
                  <c:v>0</c:v>
                </c:pt>
                <c:pt idx="5">
                  <c:v>0.15</c:v>
                </c:pt>
                <c:pt idx="6">
                  <c:v>0.7</c:v>
                </c:pt>
                <c:pt idx="7">
                  <c:v>0.9</c:v>
                </c:pt>
                <c:pt idx="8">
                  <c:v>0.9</c:v>
                </c:pt>
                <c:pt idx="9">
                  <c:v>0.9</c:v>
                </c:pt>
                <c:pt idx="10">
                  <c:v>0.9</c:v>
                </c:pt>
                <c:pt idx="11">
                  <c:v>0.9</c:v>
                </c:pt>
                <c:pt idx="12">
                  <c:v>0.5</c:v>
                </c:pt>
                <c:pt idx="13">
                  <c:v>0.85</c:v>
                </c:pt>
                <c:pt idx="14">
                  <c:v>0.85</c:v>
                </c:pt>
                <c:pt idx="15">
                  <c:v>0.2</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0-3883-423A-9D30-BCCF0FB1CCB4}"/>
            </c:ext>
          </c:extLst>
        </c:ser>
        <c:ser>
          <c:idx val="1"/>
          <c:order val="1"/>
          <c:tx>
            <c:strRef>
              <c:f>Schedules!$E$5</c:f>
              <c:strCache>
                <c:ptCount val="1"/>
                <c:pt idx="0">
                  <c:v>Saturday</c:v>
                </c:pt>
              </c:strCache>
            </c:strRef>
          </c:tx>
          <c:spPr>
            <a:ln w="28575" cap="rnd">
              <a:solidFill>
                <a:schemeClr val="accent2"/>
              </a:solidFill>
              <a:round/>
            </a:ln>
            <a:effectLst/>
          </c:spPr>
          <c:marker>
            <c:symbol val="none"/>
          </c:marker>
          <c:val>
            <c:numRef>
              <c:f>Schedules!$F$5:$AC$5</c:f>
              <c:numCache>
                <c:formatCode>0.00</c:formatCode>
                <c:ptCount val="24"/>
                <c:pt idx="0">
                  <c:v>0</c:v>
                </c:pt>
                <c:pt idx="1">
                  <c:v>0</c:v>
                </c:pt>
                <c:pt idx="2">
                  <c:v>0</c:v>
                </c:pt>
                <c:pt idx="3">
                  <c:v>0</c:v>
                </c:pt>
                <c:pt idx="4">
                  <c:v>0</c:v>
                </c:pt>
                <c:pt idx="5">
                  <c:v>0.15</c:v>
                </c:pt>
                <c:pt idx="6">
                  <c:v>0.7</c:v>
                </c:pt>
                <c:pt idx="7">
                  <c:v>0.9</c:v>
                </c:pt>
                <c:pt idx="8">
                  <c:v>0.9</c:v>
                </c:pt>
                <c:pt idx="9">
                  <c:v>0.9</c:v>
                </c:pt>
                <c:pt idx="10">
                  <c:v>0.9</c:v>
                </c:pt>
                <c:pt idx="11">
                  <c:v>0.9</c:v>
                </c:pt>
                <c:pt idx="12">
                  <c:v>0.5</c:v>
                </c:pt>
                <c:pt idx="13">
                  <c:v>0.85</c:v>
                </c:pt>
                <c:pt idx="14">
                  <c:v>0.85</c:v>
                </c:pt>
                <c:pt idx="15">
                  <c:v>0.2</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1-3883-423A-9D30-BCCF0FB1CCB4}"/>
            </c:ext>
          </c:extLst>
        </c:ser>
        <c:ser>
          <c:idx val="2"/>
          <c:order val="2"/>
          <c:tx>
            <c:strRef>
              <c:f>Schedules!$E$6</c:f>
              <c:strCache>
                <c:ptCount val="1"/>
                <c:pt idx="0">
                  <c:v>Sunday</c:v>
                </c:pt>
              </c:strCache>
            </c:strRef>
          </c:tx>
          <c:spPr>
            <a:ln w="28575" cap="rnd">
              <a:solidFill>
                <a:schemeClr val="accent3"/>
              </a:solidFill>
              <a:round/>
            </a:ln>
            <a:effectLst/>
          </c:spPr>
          <c:marker>
            <c:symbol val="none"/>
          </c:marker>
          <c:val>
            <c:numRef>
              <c:f>Schedules!$F$6:$AC$6</c:f>
              <c:numCache>
                <c:formatCode>0.00</c:formatCode>
                <c:ptCount val="2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2-3883-423A-9D30-BCCF0FB1CCB4}"/>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Schedules!$C$7</c:f>
          <c:strCache>
            <c:ptCount val="1"/>
            <c:pt idx="0">
              <c:v>Lights</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Schedules!$E$32</c:f>
              <c:strCache>
                <c:ptCount val="1"/>
                <c:pt idx="0">
                  <c:v>Weekday</c:v>
                </c:pt>
              </c:strCache>
            </c:strRef>
          </c:tx>
          <c:spPr>
            <a:ln w="28575" cap="rnd">
              <a:solidFill>
                <a:schemeClr val="accent1"/>
              </a:solidFill>
              <a:round/>
            </a:ln>
            <a:effectLst/>
          </c:spPr>
          <c:marker>
            <c:symbol val="none"/>
          </c:marker>
          <c:val>
            <c:numRef>
              <c:f>Schedules!$F$32:$AC$32</c:f>
              <c:numCache>
                <c:formatCode>0.00</c:formatCode>
                <c:ptCount val="24"/>
                <c:pt idx="0">
                  <c:v>0.05</c:v>
                </c:pt>
                <c:pt idx="1">
                  <c:v>0.05</c:v>
                </c:pt>
                <c:pt idx="2">
                  <c:v>0.05</c:v>
                </c:pt>
                <c:pt idx="3">
                  <c:v>0.05</c:v>
                </c:pt>
                <c:pt idx="4">
                  <c:v>0.05</c:v>
                </c:pt>
                <c:pt idx="5">
                  <c:v>0.45</c:v>
                </c:pt>
                <c:pt idx="6">
                  <c:v>0.55000000000000004</c:v>
                </c:pt>
                <c:pt idx="7">
                  <c:v>0.55000000000000004</c:v>
                </c:pt>
                <c:pt idx="8">
                  <c:v>0.55000000000000004</c:v>
                </c:pt>
                <c:pt idx="9">
                  <c:v>0.55000000000000004</c:v>
                </c:pt>
                <c:pt idx="10">
                  <c:v>0.55000000000000004</c:v>
                </c:pt>
                <c:pt idx="11">
                  <c:v>0.55000000000000004</c:v>
                </c:pt>
                <c:pt idx="12">
                  <c:v>0.55000000000000004</c:v>
                </c:pt>
                <c:pt idx="13">
                  <c:v>0.55000000000000004</c:v>
                </c:pt>
                <c:pt idx="14">
                  <c:v>0.55000000000000004</c:v>
                </c:pt>
                <c:pt idx="15">
                  <c:v>0.55000000000000004</c:v>
                </c:pt>
                <c:pt idx="16">
                  <c:v>0.3</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0-6154-4A70-9575-38692BF31DB6}"/>
            </c:ext>
          </c:extLst>
        </c:ser>
        <c:ser>
          <c:idx val="1"/>
          <c:order val="1"/>
          <c:tx>
            <c:strRef>
              <c:f>Schedules!$E$33</c:f>
              <c:strCache>
                <c:ptCount val="1"/>
                <c:pt idx="0">
                  <c:v>Saturday</c:v>
                </c:pt>
              </c:strCache>
            </c:strRef>
          </c:tx>
          <c:spPr>
            <a:ln w="28575" cap="rnd">
              <a:solidFill>
                <a:schemeClr val="accent2"/>
              </a:solidFill>
              <a:round/>
            </a:ln>
            <a:effectLst/>
          </c:spPr>
          <c:marker>
            <c:symbol val="none"/>
          </c:marker>
          <c:val>
            <c:numRef>
              <c:f>Schedules!$F$33:$AC$33</c:f>
              <c:numCache>
                <c:formatCode>0.00</c:formatCode>
                <c:ptCount val="24"/>
                <c:pt idx="0">
                  <c:v>0.05</c:v>
                </c:pt>
                <c:pt idx="1">
                  <c:v>0.05</c:v>
                </c:pt>
                <c:pt idx="2">
                  <c:v>0.05</c:v>
                </c:pt>
                <c:pt idx="3">
                  <c:v>0.05</c:v>
                </c:pt>
                <c:pt idx="4">
                  <c:v>0.05</c:v>
                </c:pt>
                <c:pt idx="5">
                  <c:v>0.45</c:v>
                </c:pt>
                <c:pt idx="6">
                  <c:v>0.55000000000000004</c:v>
                </c:pt>
                <c:pt idx="7">
                  <c:v>0.55000000000000004</c:v>
                </c:pt>
                <c:pt idx="8">
                  <c:v>0.55000000000000004</c:v>
                </c:pt>
                <c:pt idx="9">
                  <c:v>0.55000000000000004</c:v>
                </c:pt>
                <c:pt idx="10">
                  <c:v>0.55000000000000004</c:v>
                </c:pt>
                <c:pt idx="11">
                  <c:v>0.55000000000000004</c:v>
                </c:pt>
                <c:pt idx="12">
                  <c:v>0.55000000000000004</c:v>
                </c:pt>
                <c:pt idx="13">
                  <c:v>0.55000000000000004</c:v>
                </c:pt>
                <c:pt idx="14">
                  <c:v>0.55000000000000004</c:v>
                </c:pt>
                <c:pt idx="15">
                  <c:v>0.55000000000000004</c:v>
                </c:pt>
                <c:pt idx="16">
                  <c:v>0.3</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1-6154-4A70-9575-38692BF31DB6}"/>
            </c:ext>
          </c:extLst>
        </c:ser>
        <c:ser>
          <c:idx val="2"/>
          <c:order val="2"/>
          <c:tx>
            <c:strRef>
              <c:f>Schedules!$E$34</c:f>
              <c:strCache>
                <c:ptCount val="1"/>
                <c:pt idx="0">
                  <c:v>Sunday</c:v>
                </c:pt>
              </c:strCache>
            </c:strRef>
          </c:tx>
          <c:spPr>
            <a:ln w="28575" cap="rnd">
              <a:solidFill>
                <a:schemeClr val="accent3"/>
              </a:solidFill>
              <a:round/>
            </a:ln>
            <a:effectLst/>
          </c:spPr>
          <c:marker>
            <c:symbol val="none"/>
          </c:marker>
          <c:val>
            <c:numRef>
              <c:f>Schedules!$F$34:$AC$34</c:f>
              <c:numCache>
                <c:formatCode>0.00</c:formatCode>
                <c:ptCount val="24"/>
                <c:pt idx="0">
                  <c:v>0.05</c:v>
                </c:pt>
                <c:pt idx="1">
                  <c:v>0.05</c:v>
                </c:pt>
                <c:pt idx="2">
                  <c:v>0.05</c:v>
                </c:pt>
                <c:pt idx="3">
                  <c:v>0.05</c:v>
                </c:pt>
                <c:pt idx="4">
                  <c:v>0.05</c:v>
                </c:pt>
                <c:pt idx="5">
                  <c:v>0.05</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2-6154-4A70-9575-38692BF31DB6}"/>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Schedules!$C$10</c:f>
          <c:strCache>
            <c:ptCount val="1"/>
            <c:pt idx="0">
              <c:v>ElecEquipment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Schedules!$E$35</c:f>
              <c:strCache>
                <c:ptCount val="1"/>
                <c:pt idx="0">
                  <c:v>Weekday</c:v>
                </c:pt>
              </c:strCache>
            </c:strRef>
          </c:tx>
          <c:spPr>
            <a:ln w="28575" cap="rnd">
              <a:solidFill>
                <a:schemeClr val="accent1"/>
              </a:solidFill>
              <a:round/>
            </a:ln>
            <a:effectLst/>
          </c:spPr>
          <c:marker>
            <c:symbol val="none"/>
          </c:marker>
          <c:val>
            <c:numRef>
              <c:f>Schedules!$F$35:$AC$35</c:f>
              <c:numCache>
                <c:formatCode>0.00</c:formatCode>
                <c:ptCount val="24"/>
                <c:pt idx="0">
                  <c:v>0.05</c:v>
                </c:pt>
                <c:pt idx="1">
                  <c:v>0.05</c:v>
                </c:pt>
                <c:pt idx="2">
                  <c:v>0.05</c:v>
                </c:pt>
                <c:pt idx="3">
                  <c:v>0.05</c:v>
                </c:pt>
                <c:pt idx="4">
                  <c:v>0.05</c:v>
                </c:pt>
                <c:pt idx="5">
                  <c:v>0.5</c:v>
                </c:pt>
                <c:pt idx="6">
                  <c:v>0.9</c:v>
                </c:pt>
                <c:pt idx="7">
                  <c:v>0.9</c:v>
                </c:pt>
                <c:pt idx="8">
                  <c:v>0.9</c:v>
                </c:pt>
                <c:pt idx="9">
                  <c:v>0.9</c:v>
                </c:pt>
                <c:pt idx="10">
                  <c:v>0.9</c:v>
                </c:pt>
                <c:pt idx="11">
                  <c:v>0.9</c:v>
                </c:pt>
                <c:pt idx="12">
                  <c:v>0.9</c:v>
                </c:pt>
                <c:pt idx="13">
                  <c:v>0.9</c:v>
                </c:pt>
                <c:pt idx="14">
                  <c:v>0.9</c:v>
                </c:pt>
                <c:pt idx="15">
                  <c:v>0.65</c:v>
                </c:pt>
                <c:pt idx="16">
                  <c:v>0.25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0-A8A4-4B59-B02E-61A2306003C7}"/>
            </c:ext>
          </c:extLst>
        </c:ser>
        <c:ser>
          <c:idx val="1"/>
          <c:order val="1"/>
          <c:tx>
            <c:strRef>
              <c:f>Schedules!$E$36</c:f>
              <c:strCache>
                <c:ptCount val="1"/>
                <c:pt idx="0">
                  <c:v>Saturday</c:v>
                </c:pt>
              </c:strCache>
            </c:strRef>
          </c:tx>
          <c:spPr>
            <a:ln w="28575" cap="rnd">
              <a:solidFill>
                <a:schemeClr val="accent2"/>
              </a:solidFill>
              <a:round/>
            </a:ln>
            <a:effectLst/>
          </c:spPr>
          <c:marker>
            <c:symbol val="none"/>
          </c:marker>
          <c:val>
            <c:numRef>
              <c:f>Schedules!$F$36:$AC$36</c:f>
              <c:numCache>
                <c:formatCode>0.00</c:formatCode>
                <c:ptCount val="24"/>
                <c:pt idx="0">
                  <c:v>0.05</c:v>
                </c:pt>
                <c:pt idx="1">
                  <c:v>0.05</c:v>
                </c:pt>
                <c:pt idx="2">
                  <c:v>0.05</c:v>
                </c:pt>
                <c:pt idx="3">
                  <c:v>0.05</c:v>
                </c:pt>
                <c:pt idx="4">
                  <c:v>0.05</c:v>
                </c:pt>
                <c:pt idx="5">
                  <c:v>0.5</c:v>
                </c:pt>
                <c:pt idx="6">
                  <c:v>0.9</c:v>
                </c:pt>
                <c:pt idx="7">
                  <c:v>0.9</c:v>
                </c:pt>
                <c:pt idx="8">
                  <c:v>0.9</c:v>
                </c:pt>
                <c:pt idx="9">
                  <c:v>0.9</c:v>
                </c:pt>
                <c:pt idx="10">
                  <c:v>0.9</c:v>
                </c:pt>
                <c:pt idx="11">
                  <c:v>0.9</c:v>
                </c:pt>
                <c:pt idx="12">
                  <c:v>0.9</c:v>
                </c:pt>
                <c:pt idx="13">
                  <c:v>0.9</c:v>
                </c:pt>
                <c:pt idx="14">
                  <c:v>0.9</c:v>
                </c:pt>
                <c:pt idx="15">
                  <c:v>0.65</c:v>
                </c:pt>
                <c:pt idx="16">
                  <c:v>0.25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1-A8A4-4B59-B02E-61A2306003C7}"/>
            </c:ext>
          </c:extLst>
        </c:ser>
        <c:ser>
          <c:idx val="2"/>
          <c:order val="2"/>
          <c:tx>
            <c:strRef>
              <c:f>Schedules!$E$37</c:f>
              <c:strCache>
                <c:ptCount val="1"/>
                <c:pt idx="0">
                  <c:v>Sunday</c:v>
                </c:pt>
              </c:strCache>
            </c:strRef>
          </c:tx>
          <c:spPr>
            <a:ln w="28575" cap="rnd">
              <a:solidFill>
                <a:schemeClr val="accent3"/>
              </a:solidFill>
              <a:round/>
            </a:ln>
            <a:effectLst/>
          </c:spPr>
          <c:marker>
            <c:symbol val="none"/>
          </c:marker>
          <c:val>
            <c:numRef>
              <c:f>Schedules!$F$37:$AC$37</c:f>
              <c:numCache>
                <c:formatCode>0.00</c:formatCode>
                <c:ptCount val="24"/>
                <c:pt idx="0">
                  <c:v>0.05</c:v>
                </c:pt>
                <c:pt idx="1">
                  <c:v>0.05</c:v>
                </c:pt>
                <c:pt idx="2">
                  <c:v>0.05</c:v>
                </c:pt>
                <c:pt idx="3">
                  <c:v>0.05</c:v>
                </c:pt>
                <c:pt idx="4">
                  <c:v>0.05</c:v>
                </c:pt>
                <c:pt idx="5">
                  <c:v>0.05</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2-A8A4-4B59-B02E-61A2306003C7}"/>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Schedules!$C$19</c:f>
          <c:strCache>
            <c:ptCount val="1"/>
            <c:pt idx="0">
              <c:v>Infiltration</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Schedules!$E$44</c:f>
              <c:strCache>
                <c:ptCount val="1"/>
                <c:pt idx="0">
                  <c:v>Weekday</c:v>
                </c:pt>
              </c:strCache>
            </c:strRef>
          </c:tx>
          <c:spPr>
            <a:ln w="28575" cap="rnd">
              <a:solidFill>
                <a:schemeClr val="accent1"/>
              </a:solidFill>
              <a:round/>
            </a:ln>
            <a:effectLst/>
          </c:spPr>
          <c:marker>
            <c:symbol val="none"/>
          </c:marker>
          <c:val>
            <c:numRef>
              <c:f>Schedules!$F$44:$AC$44</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8F6C-4FFD-A864-95FD32CFA754}"/>
            </c:ext>
          </c:extLst>
        </c:ser>
        <c:ser>
          <c:idx val="1"/>
          <c:order val="1"/>
          <c:tx>
            <c:strRef>
              <c:f>Schedules!$E$45</c:f>
              <c:strCache>
                <c:ptCount val="1"/>
                <c:pt idx="0">
                  <c:v>Saturday</c:v>
                </c:pt>
              </c:strCache>
            </c:strRef>
          </c:tx>
          <c:spPr>
            <a:ln w="28575" cap="rnd">
              <a:solidFill>
                <a:schemeClr val="accent2"/>
              </a:solidFill>
              <a:round/>
            </a:ln>
            <a:effectLst/>
          </c:spPr>
          <c:marker>
            <c:symbol val="none"/>
          </c:marker>
          <c:val>
            <c:numRef>
              <c:f>Schedules!$F$45:$AC$45</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1-8F6C-4FFD-A864-95FD32CFA754}"/>
            </c:ext>
          </c:extLst>
        </c:ser>
        <c:ser>
          <c:idx val="2"/>
          <c:order val="2"/>
          <c:tx>
            <c:strRef>
              <c:f>Schedules!$E$46</c:f>
              <c:strCache>
                <c:ptCount val="1"/>
                <c:pt idx="0">
                  <c:v>Sunday</c:v>
                </c:pt>
              </c:strCache>
            </c:strRef>
          </c:tx>
          <c:spPr>
            <a:ln w="28575" cap="rnd">
              <a:solidFill>
                <a:schemeClr val="accent3"/>
              </a:solidFill>
              <a:round/>
            </a:ln>
            <a:effectLst/>
          </c:spPr>
          <c:marker>
            <c:symbol val="none"/>
          </c:marker>
          <c:val>
            <c:numRef>
              <c:f>Schedules!$F$46:$AC$46</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2-8F6C-4FFD-A864-95FD32CFA754}"/>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Schedules!$C$13</c:f>
          <c:strCache>
            <c:ptCount val="1"/>
            <c:pt idx="0">
              <c:v>HVACAvail</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Schedules!$E$38</c:f>
              <c:strCache>
                <c:ptCount val="1"/>
                <c:pt idx="0">
                  <c:v>Weekday</c:v>
                </c:pt>
              </c:strCache>
            </c:strRef>
          </c:tx>
          <c:spPr>
            <a:ln w="28575" cap="rnd">
              <a:solidFill>
                <a:schemeClr val="accent1"/>
              </a:solidFill>
              <a:round/>
            </a:ln>
            <a:effectLst/>
          </c:spPr>
          <c:marker>
            <c:symbol val="none"/>
          </c:marker>
          <c:val>
            <c:numRef>
              <c:f>Schedules!$F$38:$AC$38</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D766-4B3F-B9B0-C8128F073A0A}"/>
            </c:ext>
          </c:extLst>
        </c:ser>
        <c:ser>
          <c:idx val="1"/>
          <c:order val="1"/>
          <c:tx>
            <c:strRef>
              <c:f>Schedules!$E$39</c:f>
              <c:strCache>
                <c:ptCount val="1"/>
                <c:pt idx="0">
                  <c:v>Saturday</c:v>
                </c:pt>
              </c:strCache>
            </c:strRef>
          </c:tx>
          <c:spPr>
            <a:ln w="28575" cap="rnd">
              <a:solidFill>
                <a:schemeClr val="accent2"/>
              </a:solidFill>
              <a:round/>
            </a:ln>
            <a:effectLst/>
          </c:spPr>
          <c:marker>
            <c:symbol val="none"/>
          </c:marker>
          <c:val>
            <c:numRef>
              <c:f>Schedules!$F$39:$AC$39</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1-D766-4B3F-B9B0-C8128F073A0A}"/>
            </c:ext>
          </c:extLst>
        </c:ser>
        <c:ser>
          <c:idx val="2"/>
          <c:order val="2"/>
          <c:tx>
            <c:strRef>
              <c:f>Schedules!$E$40</c:f>
              <c:strCache>
                <c:ptCount val="1"/>
                <c:pt idx="0">
                  <c:v>Sunday</c:v>
                </c:pt>
              </c:strCache>
            </c:strRef>
          </c:tx>
          <c:spPr>
            <a:ln w="28575" cap="rnd">
              <a:solidFill>
                <a:schemeClr val="accent3"/>
              </a:solidFill>
              <a:round/>
            </a:ln>
            <a:effectLst/>
          </c:spPr>
          <c:marker>
            <c:symbol val="none"/>
          </c:marker>
          <c:val>
            <c:numRef>
              <c:f>Schedules!$F$40:$AC$40</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2-D766-4B3F-B9B0-C8128F073A0A}"/>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Schedules!$C$16</c:f>
          <c:strCache>
            <c:ptCount val="1"/>
            <c:pt idx="0">
              <c:v>ServiceHotWater</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Schedules!$E$41</c:f>
              <c:strCache>
                <c:ptCount val="1"/>
                <c:pt idx="0">
                  <c:v>Weekday</c:v>
                </c:pt>
              </c:strCache>
            </c:strRef>
          </c:tx>
          <c:spPr>
            <a:ln w="28575" cap="rnd">
              <a:solidFill>
                <a:schemeClr val="accent1"/>
              </a:solidFill>
              <a:round/>
            </a:ln>
            <a:effectLst/>
          </c:spPr>
          <c:marker>
            <c:symbol val="none"/>
          </c:marker>
          <c:val>
            <c:numRef>
              <c:f>Schedules!$F$41:$AC$41</c:f>
              <c:numCache>
                <c:formatCode>0.00</c:formatCode>
                <c:ptCount val="24"/>
                <c:pt idx="0">
                  <c:v>0.02</c:v>
                </c:pt>
                <c:pt idx="1">
                  <c:v>0.02</c:v>
                </c:pt>
                <c:pt idx="2">
                  <c:v>0.02</c:v>
                </c:pt>
                <c:pt idx="3">
                  <c:v>0.05</c:v>
                </c:pt>
                <c:pt idx="4">
                  <c:v>7.0000000000000007E-2</c:v>
                </c:pt>
                <c:pt idx="5">
                  <c:v>0.1</c:v>
                </c:pt>
                <c:pt idx="6">
                  <c:v>0.3</c:v>
                </c:pt>
                <c:pt idx="7">
                  <c:v>0.36</c:v>
                </c:pt>
                <c:pt idx="8">
                  <c:v>0.36</c:v>
                </c:pt>
                <c:pt idx="9">
                  <c:v>0.36</c:v>
                </c:pt>
                <c:pt idx="10">
                  <c:v>0.36</c:v>
                </c:pt>
                <c:pt idx="11">
                  <c:v>0.46</c:v>
                </c:pt>
                <c:pt idx="12">
                  <c:v>0.56999999999999995</c:v>
                </c:pt>
                <c:pt idx="13">
                  <c:v>0.43</c:v>
                </c:pt>
                <c:pt idx="14">
                  <c:v>0.4</c:v>
                </c:pt>
                <c:pt idx="15">
                  <c:v>0.3</c:v>
                </c:pt>
                <c:pt idx="16">
                  <c:v>0.18</c:v>
                </c:pt>
                <c:pt idx="17">
                  <c:v>0.18</c:v>
                </c:pt>
                <c:pt idx="18">
                  <c:v>0.03</c:v>
                </c:pt>
                <c:pt idx="19">
                  <c:v>0.03</c:v>
                </c:pt>
                <c:pt idx="20">
                  <c:v>0.03</c:v>
                </c:pt>
                <c:pt idx="21">
                  <c:v>0.03</c:v>
                </c:pt>
                <c:pt idx="22">
                  <c:v>0.03</c:v>
                </c:pt>
                <c:pt idx="23">
                  <c:v>0.03</c:v>
                </c:pt>
              </c:numCache>
            </c:numRef>
          </c:val>
          <c:smooth val="0"/>
          <c:extLst>
            <c:ext xmlns:c16="http://schemas.microsoft.com/office/drawing/2014/chart" uri="{C3380CC4-5D6E-409C-BE32-E72D297353CC}">
              <c16:uniqueId val="{00000000-029B-46F0-9E9D-D63D1E27469B}"/>
            </c:ext>
          </c:extLst>
        </c:ser>
        <c:ser>
          <c:idx val="1"/>
          <c:order val="1"/>
          <c:tx>
            <c:strRef>
              <c:f>Schedules!$E$42</c:f>
              <c:strCache>
                <c:ptCount val="1"/>
                <c:pt idx="0">
                  <c:v>Saturday</c:v>
                </c:pt>
              </c:strCache>
            </c:strRef>
          </c:tx>
          <c:spPr>
            <a:ln w="28575" cap="rnd">
              <a:solidFill>
                <a:schemeClr val="accent2"/>
              </a:solidFill>
              <a:round/>
            </a:ln>
            <a:effectLst/>
          </c:spPr>
          <c:marker>
            <c:symbol val="none"/>
          </c:marker>
          <c:val>
            <c:numRef>
              <c:f>Schedules!$F$42:$AC$42</c:f>
              <c:numCache>
                <c:formatCode>0.00</c:formatCode>
                <c:ptCount val="24"/>
                <c:pt idx="0">
                  <c:v>0.02</c:v>
                </c:pt>
                <c:pt idx="1">
                  <c:v>0.02</c:v>
                </c:pt>
                <c:pt idx="2">
                  <c:v>0.02</c:v>
                </c:pt>
                <c:pt idx="3">
                  <c:v>0.05</c:v>
                </c:pt>
                <c:pt idx="4">
                  <c:v>7.0000000000000007E-2</c:v>
                </c:pt>
                <c:pt idx="5">
                  <c:v>0.1</c:v>
                </c:pt>
                <c:pt idx="6">
                  <c:v>0.3</c:v>
                </c:pt>
                <c:pt idx="7">
                  <c:v>0.36</c:v>
                </c:pt>
                <c:pt idx="8">
                  <c:v>0.36</c:v>
                </c:pt>
                <c:pt idx="9">
                  <c:v>0.36</c:v>
                </c:pt>
                <c:pt idx="10">
                  <c:v>0.36</c:v>
                </c:pt>
                <c:pt idx="11">
                  <c:v>0.46</c:v>
                </c:pt>
                <c:pt idx="12">
                  <c:v>0.56999999999999995</c:v>
                </c:pt>
                <c:pt idx="13">
                  <c:v>0.43</c:v>
                </c:pt>
                <c:pt idx="14">
                  <c:v>0.4</c:v>
                </c:pt>
                <c:pt idx="15">
                  <c:v>0.3</c:v>
                </c:pt>
                <c:pt idx="16">
                  <c:v>0.18</c:v>
                </c:pt>
                <c:pt idx="17">
                  <c:v>0.18</c:v>
                </c:pt>
                <c:pt idx="18">
                  <c:v>0.03</c:v>
                </c:pt>
                <c:pt idx="19">
                  <c:v>0.03</c:v>
                </c:pt>
                <c:pt idx="20">
                  <c:v>0.03</c:v>
                </c:pt>
                <c:pt idx="21">
                  <c:v>0.03</c:v>
                </c:pt>
                <c:pt idx="22">
                  <c:v>0.03</c:v>
                </c:pt>
                <c:pt idx="23">
                  <c:v>0.03</c:v>
                </c:pt>
              </c:numCache>
            </c:numRef>
          </c:val>
          <c:smooth val="0"/>
          <c:extLst>
            <c:ext xmlns:c16="http://schemas.microsoft.com/office/drawing/2014/chart" uri="{C3380CC4-5D6E-409C-BE32-E72D297353CC}">
              <c16:uniqueId val="{00000001-029B-46F0-9E9D-D63D1E27469B}"/>
            </c:ext>
          </c:extLst>
        </c:ser>
        <c:ser>
          <c:idx val="2"/>
          <c:order val="2"/>
          <c:tx>
            <c:strRef>
              <c:f>Schedules!$E$43</c:f>
              <c:strCache>
                <c:ptCount val="1"/>
                <c:pt idx="0">
                  <c:v>Sunday</c:v>
                </c:pt>
              </c:strCache>
            </c:strRef>
          </c:tx>
          <c:spPr>
            <a:ln w="28575" cap="rnd">
              <a:solidFill>
                <a:schemeClr val="accent3"/>
              </a:solidFill>
              <a:round/>
            </a:ln>
            <a:effectLst/>
          </c:spPr>
          <c:marker>
            <c:symbol val="none"/>
          </c:marker>
          <c:val>
            <c:numRef>
              <c:f>Schedules!$F$43:$AC$43</c:f>
              <c:numCache>
                <c:formatCode>0.00</c:formatCode>
                <c:ptCount val="24"/>
                <c:pt idx="0">
                  <c:v>0.02</c:v>
                </c:pt>
                <c:pt idx="1">
                  <c:v>0.02</c:v>
                </c:pt>
                <c:pt idx="2">
                  <c:v>0.02</c:v>
                </c:pt>
                <c:pt idx="3">
                  <c:v>0.02</c:v>
                </c:pt>
                <c:pt idx="4">
                  <c:v>0.02</c:v>
                </c:pt>
                <c:pt idx="5">
                  <c:v>0.02</c:v>
                </c:pt>
                <c:pt idx="6">
                  <c:v>0.02</c:v>
                </c:pt>
                <c:pt idx="7">
                  <c:v>0.02</c:v>
                </c:pt>
                <c:pt idx="8">
                  <c:v>0.02</c:v>
                </c:pt>
                <c:pt idx="9">
                  <c:v>0.02</c:v>
                </c:pt>
                <c:pt idx="10">
                  <c:v>0.02</c:v>
                </c:pt>
                <c:pt idx="11">
                  <c:v>0.02</c:v>
                </c:pt>
                <c:pt idx="12">
                  <c:v>0.04</c:v>
                </c:pt>
                <c:pt idx="13">
                  <c:v>0.04</c:v>
                </c:pt>
                <c:pt idx="14">
                  <c:v>0.02</c:v>
                </c:pt>
                <c:pt idx="15">
                  <c:v>0.02</c:v>
                </c:pt>
                <c:pt idx="16">
                  <c:v>0.02</c:v>
                </c:pt>
                <c:pt idx="17">
                  <c:v>0.02</c:v>
                </c:pt>
                <c:pt idx="18">
                  <c:v>0.02</c:v>
                </c:pt>
                <c:pt idx="19">
                  <c:v>0.02</c:v>
                </c:pt>
                <c:pt idx="20">
                  <c:v>0.02</c:v>
                </c:pt>
                <c:pt idx="21">
                  <c:v>0.02</c:v>
                </c:pt>
                <c:pt idx="22">
                  <c:v>0.02</c:v>
                </c:pt>
                <c:pt idx="23">
                  <c:v>0.02</c:v>
                </c:pt>
              </c:numCache>
            </c:numRef>
          </c:val>
          <c:smooth val="0"/>
          <c:extLst>
            <c:ext xmlns:c16="http://schemas.microsoft.com/office/drawing/2014/chart" uri="{C3380CC4-5D6E-409C-BE32-E72D297353CC}">
              <c16:uniqueId val="{00000002-029B-46F0-9E9D-D63D1E27469B}"/>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r>
              <a:rPr lang="en-US" sz="1000" b="1" i="0" u="none" strike="noStrike" kern="1200" spc="0" baseline="0">
                <a:solidFill>
                  <a:sysClr val="windowText" lastClr="000000"/>
                </a:solidFill>
                <a:latin typeface="Arial" panose="020B0604020202020204" pitchFamily="34" charset="0"/>
                <a:cs typeface="Arial" panose="020B0604020202020204" pitchFamily="34" charset="0"/>
              </a:rPr>
              <a:t>Assembly Elevator</a:t>
            </a:r>
          </a:p>
        </c:rich>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spPr>
            <a:ln w="28575" cap="rnd">
              <a:solidFill>
                <a:schemeClr val="accent1"/>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0-107E-482C-B912-60536C127BF0}"/>
            </c:ext>
          </c:extLst>
        </c:ser>
        <c:ser>
          <c:idx val="1"/>
          <c:order val="1"/>
          <c:spPr>
            <a:ln w="28575" cap="rnd">
              <a:solidFill>
                <a:schemeClr val="accent2"/>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1-107E-482C-B912-60536C127BF0}"/>
            </c:ext>
          </c:extLst>
        </c:ser>
        <c:ser>
          <c:idx val="2"/>
          <c:order val="2"/>
          <c:spPr>
            <a:ln w="28575" cap="rnd">
              <a:solidFill>
                <a:schemeClr val="accent3"/>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2-107E-482C-B912-60536C127BF0}"/>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Schedules!$C$10</c:f>
          <c:strCache>
            <c:ptCount val="1"/>
            <c:pt idx="0">
              <c:v>ElecEquipment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Schedules!$E$10</c:f>
              <c:strCache>
                <c:ptCount val="1"/>
                <c:pt idx="0">
                  <c:v>Weekday</c:v>
                </c:pt>
              </c:strCache>
            </c:strRef>
          </c:tx>
          <c:spPr>
            <a:ln w="28575" cap="rnd">
              <a:solidFill>
                <a:schemeClr val="accent1"/>
              </a:solidFill>
              <a:round/>
            </a:ln>
            <a:effectLst/>
          </c:spPr>
          <c:marker>
            <c:symbol val="none"/>
          </c:marker>
          <c:val>
            <c:numRef>
              <c:f>Schedules!$F$10:$AC$10</c:f>
              <c:numCache>
                <c:formatCode>0.00</c:formatCode>
                <c:ptCount val="24"/>
                <c:pt idx="0">
                  <c:v>0.05</c:v>
                </c:pt>
                <c:pt idx="1">
                  <c:v>0.05</c:v>
                </c:pt>
                <c:pt idx="2">
                  <c:v>0.05</c:v>
                </c:pt>
                <c:pt idx="3">
                  <c:v>0.05</c:v>
                </c:pt>
                <c:pt idx="4">
                  <c:v>0.05</c:v>
                </c:pt>
                <c:pt idx="5">
                  <c:v>0.5</c:v>
                </c:pt>
                <c:pt idx="6">
                  <c:v>0.9</c:v>
                </c:pt>
                <c:pt idx="7">
                  <c:v>0.9</c:v>
                </c:pt>
                <c:pt idx="8">
                  <c:v>0.9</c:v>
                </c:pt>
                <c:pt idx="9">
                  <c:v>0.9</c:v>
                </c:pt>
                <c:pt idx="10">
                  <c:v>0.9</c:v>
                </c:pt>
                <c:pt idx="11">
                  <c:v>0.9</c:v>
                </c:pt>
                <c:pt idx="12">
                  <c:v>0.9</c:v>
                </c:pt>
                <c:pt idx="13">
                  <c:v>0.9</c:v>
                </c:pt>
                <c:pt idx="14">
                  <c:v>0.9</c:v>
                </c:pt>
                <c:pt idx="15">
                  <c:v>0.65</c:v>
                </c:pt>
                <c:pt idx="16">
                  <c:v>0.25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0-0748-4F4D-90B3-3FD2F8F642B0}"/>
            </c:ext>
          </c:extLst>
        </c:ser>
        <c:ser>
          <c:idx val="1"/>
          <c:order val="1"/>
          <c:tx>
            <c:strRef>
              <c:f>Schedules!$E$11</c:f>
              <c:strCache>
                <c:ptCount val="1"/>
                <c:pt idx="0">
                  <c:v>Saturday</c:v>
                </c:pt>
              </c:strCache>
            </c:strRef>
          </c:tx>
          <c:spPr>
            <a:ln w="28575" cap="rnd">
              <a:solidFill>
                <a:schemeClr val="accent2"/>
              </a:solidFill>
              <a:round/>
            </a:ln>
            <a:effectLst/>
          </c:spPr>
          <c:marker>
            <c:symbol val="none"/>
          </c:marker>
          <c:val>
            <c:numRef>
              <c:f>Schedules!$F$11:$AC$11</c:f>
              <c:numCache>
                <c:formatCode>0.00</c:formatCode>
                <c:ptCount val="24"/>
                <c:pt idx="0">
                  <c:v>0.05</c:v>
                </c:pt>
                <c:pt idx="1">
                  <c:v>0.05</c:v>
                </c:pt>
                <c:pt idx="2">
                  <c:v>0.05</c:v>
                </c:pt>
                <c:pt idx="3">
                  <c:v>0.05</c:v>
                </c:pt>
                <c:pt idx="4">
                  <c:v>0.05</c:v>
                </c:pt>
                <c:pt idx="5">
                  <c:v>0.5</c:v>
                </c:pt>
                <c:pt idx="6">
                  <c:v>0.9</c:v>
                </c:pt>
                <c:pt idx="7">
                  <c:v>0.9</c:v>
                </c:pt>
                <c:pt idx="8">
                  <c:v>0.9</c:v>
                </c:pt>
                <c:pt idx="9">
                  <c:v>0.9</c:v>
                </c:pt>
                <c:pt idx="10">
                  <c:v>0.9</c:v>
                </c:pt>
                <c:pt idx="11">
                  <c:v>0.9</c:v>
                </c:pt>
                <c:pt idx="12">
                  <c:v>0.9</c:v>
                </c:pt>
                <c:pt idx="13">
                  <c:v>0.9</c:v>
                </c:pt>
                <c:pt idx="14">
                  <c:v>0.9</c:v>
                </c:pt>
                <c:pt idx="15">
                  <c:v>0.65</c:v>
                </c:pt>
                <c:pt idx="16">
                  <c:v>0.25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1-0748-4F4D-90B3-3FD2F8F642B0}"/>
            </c:ext>
          </c:extLst>
        </c:ser>
        <c:ser>
          <c:idx val="2"/>
          <c:order val="2"/>
          <c:tx>
            <c:strRef>
              <c:f>Schedules!$E$12</c:f>
              <c:strCache>
                <c:ptCount val="1"/>
                <c:pt idx="0">
                  <c:v>Sunday</c:v>
                </c:pt>
              </c:strCache>
            </c:strRef>
          </c:tx>
          <c:spPr>
            <a:ln w="28575" cap="rnd">
              <a:solidFill>
                <a:schemeClr val="accent3"/>
              </a:solidFill>
              <a:round/>
            </a:ln>
            <a:effectLst/>
          </c:spPr>
          <c:marker>
            <c:symbol val="none"/>
          </c:marker>
          <c:val>
            <c:numRef>
              <c:f>Schedules!$F$12:$AC$12</c:f>
              <c:numCache>
                <c:formatCode>0.00</c:formatCode>
                <c:ptCount val="24"/>
                <c:pt idx="0">
                  <c:v>0.05</c:v>
                </c:pt>
                <c:pt idx="1">
                  <c:v>0.05</c:v>
                </c:pt>
                <c:pt idx="2">
                  <c:v>0.05</c:v>
                </c:pt>
                <c:pt idx="3">
                  <c:v>0.05</c:v>
                </c:pt>
                <c:pt idx="4">
                  <c:v>0.05</c:v>
                </c:pt>
                <c:pt idx="5">
                  <c:v>0.05</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2-0748-4F4D-90B3-3FD2F8F642B0}"/>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Schedules!$C$4</c:f>
          <c:strCache>
            <c:ptCount val="1"/>
            <c:pt idx="0">
              <c:v>Occupancy</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Schedules!$E$29</c:f>
              <c:strCache>
                <c:ptCount val="1"/>
                <c:pt idx="0">
                  <c:v>Weekday</c:v>
                </c:pt>
              </c:strCache>
            </c:strRef>
          </c:tx>
          <c:spPr>
            <a:ln w="28575" cap="rnd">
              <a:solidFill>
                <a:schemeClr val="accent1"/>
              </a:solidFill>
              <a:round/>
            </a:ln>
            <a:effectLst/>
          </c:spPr>
          <c:marker>
            <c:symbol val="none"/>
          </c:marker>
          <c:val>
            <c:numRef>
              <c:f>Schedules!$F$29:$AC$29</c:f>
              <c:numCache>
                <c:formatCode>0.00</c:formatCode>
                <c:ptCount val="24"/>
                <c:pt idx="0">
                  <c:v>0</c:v>
                </c:pt>
                <c:pt idx="1">
                  <c:v>0</c:v>
                </c:pt>
                <c:pt idx="2">
                  <c:v>0</c:v>
                </c:pt>
                <c:pt idx="3">
                  <c:v>0</c:v>
                </c:pt>
                <c:pt idx="4">
                  <c:v>0</c:v>
                </c:pt>
                <c:pt idx="5">
                  <c:v>0.15</c:v>
                </c:pt>
                <c:pt idx="6">
                  <c:v>0.7</c:v>
                </c:pt>
                <c:pt idx="7">
                  <c:v>0.9</c:v>
                </c:pt>
                <c:pt idx="8">
                  <c:v>0.9</c:v>
                </c:pt>
                <c:pt idx="9">
                  <c:v>0.9</c:v>
                </c:pt>
                <c:pt idx="10">
                  <c:v>0.9</c:v>
                </c:pt>
                <c:pt idx="11">
                  <c:v>0.9</c:v>
                </c:pt>
                <c:pt idx="12">
                  <c:v>0.5</c:v>
                </c:pt>
                <c:pt idx="13">
                  <c:v>0.85</c:v>
                </c:pt>
                <c:pt idx="14">
                  <c:v>0.85</c:v>
                </c:pt>
                <c:pt idx="15">
                  <c:v>0.2</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0-C36E-4B33-B774-CAD073BC41BC}"/>
            </c:ext>
          </c:extLst>
        </c:ser>
        <c:ser>
          <c:idx val="1"/>
          <c:order val="1"/>
          <c:tx>
            <c:strRef>
              <c:f>Schedules!$E$30</c:f>
              <c:strCache>
                <c:ptCount val="1"/>
                <c:pt idx="0">
                  <c:v>Saturday</c:v>
                </c:pt>
              </c:strCache>
            </c:strRef>
          </c:tx>
          <c:spPr>
            <a:ln w="28575" cap="rnd">
              <a:solidFill>
                <a:schemeClr val="accent2"/>
              </a:solidFill>
              <a:round/>
            </a:ln>
            <a:effectLst/>
          </c:spPr>
          <c:marker>
            <c:symbol val="none"/>
          </c:marker>
          <c:val>
            <c:numRef>
              <c:f>Schedules!$F$30:$AC$30</c:f>
              <c:numCache>
                <c:formatCode>0.00</c:formatCode>
                <c:ptCount val="24"/>
                <c:pt idx="0">
                  <c:v>0</c:v>
                </c:pt>
                <c:pt idx="1">
                  <c:v>0</c:v>
                </c:pt>
                <c:pt idx="2">
                  <c:v>0</c:v>
                </c:pt>
                <c:pt idx="3">
                  <c:v>0</c:v>
                </c:pt>
                <c:pt idx="4">
                  <c:v>0</c:v>
                </c:pt>
                <c:pt idx="5">
                  <c:v>0.15</c:v>
                </c:pt>
                <c:pt idx="6">
                  <c:v>0.7</c:v>
                </c:pt>
                <c:pt idx="7">
                  <c:v>0.9</c:v>
                </c:pt>
                <c:pt idx="8">
                  <c:v>0.9</c:v>
                </c:pt>
                <c:pt idx="9">
                  <c:v>0.9</c:v>
                </c:pt>
                <c:pt idx="10">
                  <c:v>0.9</c:v>
                </c:pt>
                <c:pt idx="11">
                  <c:v>0.9</c:v>
                </c:pt>
                <c:pt idx="12">
                  <c:v>0.5</c:v>
                </c:pt>
                <c:pt idx="13">
                  <c:v>0.85</c:v>
                </c:pt>
                <c:pt idx="14">
                  <c:v>0.85</c:v>
                </c:pt>
                <c:pt idx="15">
                  <c:v>0.2</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1-C36E-4B33-B774-CAD073BC41BC}"/>
            </c:ext>
          </c:extLst>
        </c:ser>
        <c:ser>
          <c:idx val="2"/>
          <c:order val="2"/>
          <c:tx>
            <c:strRef>
              <c:f>Schedules!$E$31</c:f>
              <c:strCache>
                <c:ptCount val="1"/>
                <c:pt idx="0">
                  <c:v>Sunday</c:v>
                </c:pt>
              </c:strCache>
            </c:strRef>
          </c:tx>
          <c:spPr>
            <a:ln w="28575" cap="rnd">
              <a:solidFill>
                <a:schemeClr val="accent3"/>
              </a:solidFill>
              <a:round/>
            </a:ln>
            <a:effectLst/>
          </c:spPr>
          <c:marker>
            <c:symbol val="none"/>
          </c:marker>
          <c:val>
            <c:numRef>
              <c:f>Schedules!$F$31:$AC$31</c:f>
              <c:numCache>
                <c:formatCode>0.00</c:formatCode>
                <c:ptCount val="2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2-C36E-4B33-B774-CAD073BC41BC}"/>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r>
              <a:rPr lang="en-US"/>
              <a:t>Warehouse CalBEM Prototype vs. CEUS 2022</a:t>
            </a:r>
          </a:p>
        </c:rich>
      </c:tx>
      <c:overlay val="0"/>
      <c:spPr>
        <a:noFill/>
        <a:ln>
          <a:noFill/>
        </a:ln>
        <a:effectLst/>
      </c:spPr>
      <c:txPr>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1"/>
          <c:order val="0"/>
          <c:tx>
            <c:strRef>
              <c:f>'Energy Usage'!$U$2</c:f>
              <c:strCache>
                <c:ptCount val="1"/>
                <c:pt idx="0">
                  <c:v>Acceptable Range (25% Lower)</c:v>
                </c:pt>
              </c:strCache>
            </c:strRef>
          </c:tx>
          <c:spPr>
            <a:noFill/>
            <a:ln>
              <a:noFill/>
            </a:ln>
            <a:effectLst/>
          </c:spPr>
          <c:invertIfNegative val="0"/>
          <c:val>
            <c:numRef>
              <c:f>'Energy Usage'!$U$3:$U$18</c:f>
              <c:numCache>
                <c:formatCode>_(* #,##0.0_);_(* \(#,##0.0\);_(* "-"??_);_(@_)</c:formatCode>
                <c:ptCount val="16"/>
                <c:pt idx="0">
                  <c:v>24.051756495652484</c:v>
                </c:pt>
                <c:pt idx="1">
                  <c:v>14.666510441377531</c:v>
                </c:pt>
                <c:pt idx="2">
                  <c:v>24.663503138755758</c:v>
                </c:pt>
                <c:pt idx="3">
                  <c:v>24.472388326997972</c:v>
                </c:pt>
                <c:pt idx="4">
                  <c:v>34.601922916453475</c:v>
                </c:pt>
                <c:pt idx="5">
                  <c:v>13.496403452953501</c:v>
                </c:pt>
                <c:pt idx="6">
                  <c:v>18.900549275791811</c:v>
                </c:pt>
                <c:pt idx="7">
                  <c:v>13.061237881694332</c:v>
                </c:pt>
                <c:pt idx="8">
                  <c:v>13.497362322365115</c:v>
                </c:pt>
                <c:pt idx="9">
                  <c:v>12.845313411878774</c:v>
                </c:pt>
                <c:pt idx="10">
                  <c:v>25.619808259576004</c:v>
                </c:pt>
                <c:pt idx="11">
                  <c:v>22.687100550274188</c:v>
                </c:pt>
                <c:pt idx="12">
                  <c:v>24.012623131587475</c:v>
                </c:pt>
                <c:pt idx="13">
                  <c:v>15.47797286408727</c:v>
                </c:pt>
                <c:pt idx="14">
                  <c:v>9.004267833978135</c:v>
                </c:pt>
                <c:pt idx="15">
                  <c:v>17.835600304753861</c:v>
                </c:pt>
              </c:numCache>
            </c:numRef>
          </c:val>
          <c:extLst>
            <c:ext xmlns:c16="http://schemas.microsoft.com/office/drawing/2014/chart" uri="{C3380CC4-5D6E-409C-BE32-E72D297353CC}">
              <c16:uniqueId val="{00000000-069F-4047-8F6D-0DCCF9F1B4CC}"/>
            </c:ext>
          </c:extLst>
        </c:ser>
        <c:ser>
          <c:idx val="2"/>
          <c:order val="1"/>
          <c:tx>
            <c:strRef>
              <c:f>'Energy Usage'!$V$2</c:f>
              <c:strCache>
                <c:ptCount val="1"/>
                <c:pt idx="0">
                  <c:v>CEUS 2022 Acceptable EUI Range </c:v>
                </c:pt>
              </c:strCache>
            </c:strRef>
          </c:tx>
          <c:spPr>
            <a:solidFill>
              <a:schemeClr val="accent4">
                <a:lumMod val="40000"/>
                <a:lumOff val="60000"/>
              </a:schemeClr>
            </a:solidFill>
            <a:ln>
              <a:solidFill>
                <a:schemeClr val="accent4"/>
              </a:solidFill>
            </a:ln>
            <a:effectLst/>
          </c:spPr>
          <c:invertIfNegative val="0"/>
          <c:val>
            <c:numRef>
              <c:f>'Energy Usage'!$V$3:$V$18</c:f>
              <c:numCache>
                <c:formatCode>_(* #,##0.0_);_(* \(#,##0.0\);_(* "-"??_);_(@_)</c:formatCode>
                <c:ptCount val="16"/>
                <c:pt idx="0">
                  <c:v>16.034504330434984</c:v>
                </c:pt>
                <c:pt idx="1">
                  <c:v>9.7776736275850187</c:v>
                </c:pt>
                <c:pt idx="2">
                  <c:v>16.442335425837172</c:v>
                </c:pt>
                <c:pt idx="3">
                  <c:v>16.314925551331982</c:v>
                </c:pt>
                <c:pt idx="4">
                  <c:v>23.067948610968983</c:v>
                </c:pt>
                <c:pt idx="5">
                  <c:v>8.9976023019690032</c:v>
                </c:pt>
                <c:pt idx="6">
                  <c:v>12.600366183861205</c:v>
                </c:pt>
                <c:pt idx="7">
                  <c:v>8.7074919211295523</c:v>
                </c:pt>
                <c:pt idx="8">
                  <c:v>8.9982415482434117</c:v>
                </c:pt>
                <c:pt idx="9">
                  <c:v>8.5635422745858492</c:v>
                </c:pt>
                <c:pt idx="10">
                  <c:v>17.079872173050674</c:v>
                </c:pt>
                <c:pt idx="11">
                  <c:v>15.124733700182794</c:v>
                </c:pt>
                <c:pt idx="12">
                  <c:v>16.008415421058316</c:v>
                </c:pt>
                <c:pt idx="13">
                  <c:v>10.31864857605818</c:v>
                </c:pt>
                <c:pt idx="14">
                  <c:v>6.0028452226520912</c:v>
                </c:pt>
                <c:pt idx="15">
                  <c:v>11.890400203169236</c:v>
                </c:pt>
              </c:numCache>
            </c:numRef>
          </c:val>
          <c:extLst>
            <c:ext xmlns:c16="http://schemas.microsoft.com/office/drawing/2014/chart" uri="{C3380CC4-5D6E-409C-BE32-E72D297353CC}">
              <c16:uniqueId val="{00000001-069F-4047-8F6D-0DCCF9F1B4CC}"/>
            </c:ext>
          </c:extLst>
        </c:ser>
        <c:dLbls>
          <c:showLegendKey val="0"/>
          <c:showVal val="0"/>
          <c:showCatName val="0"/>
          <c:showSerName val="0"/>
          <c:showPercent val="0"/>
          <c:showBubbleSize val="0"/>
        </c:dLbls>
        <c:gapWidth val="150"/>
        <c:overlap val="100"/>
        <c:axId val="758910767"/>
        <c:axId val="758909327"/>
      </c:barChart>
      <c:scatterChart>
        <c:scatterStyle val="lineMarker"/>
        <c:varyColors val="0"/>
        <c:ser>
          <c:idx val="0"/>
          <c:order val="2"/>
          <c:tx>
            <c:strRef>
              <c:f>'Energy Usage'!$E$2</c:f>
              <c:strCache>
                <c:ptCount val="1"/>
                <c:pt idx="0">
                  <c:v>CalBEM Total  EUI (KBTU/ft²)</c:v>
                </c:pt>
              </c:strCache>
            </c:strRef>
          </c:tx>
          <c:spPr>
            <a:ln w="25400" cap="rnd">
              <a:noFill/>
              <a:round/>
            </a:ln>
            <a:effectLst/>
          </c:spPr>
          <c:marker>
            <c:symbol val="square"/>
            <c:size val="7"/>
            <c:spPr>
              <a:solidFill>
                <a:schemeClr val="accent1"/>
              </a:solidFill>
              <a:ln w="9525">
                <a:solidFill>
                  <a:srgbClr val="001132"/>
                </a:solidFill>
              </a:ln>
              <a:effectLst/>
            </c:spPr>
          </c:marker>
          <c:yVal>
            <c:numRef>
              <c:f>'Energy Usage'!$E$3:$E$18</c:f>
              <c:numCache>
                <c:formatCode>0.0</c:formatCode>
                <c:ptCount val="16"/>
                <c:pt idx="0">
                  <c:v>44.374870207135672</c:v>
                </c:pt>
                <c:pt idx="1">
                  <c:v>35.478492802612294</c:v>
                </c:pt>
                <c:pt idx="2">
                  <c:v>30.997976029941796</c:v>
                </c:pt>
                <c:pt idx="3">
                  <c:v>36.236776931153507</c:v>
                </c:pt>
                <c:pt idx="4">
                  <c:v>30.112959586796876</c:v>
                </c:pt>
                <c:pt idx="5">
                  <c:v>21.2389901340715</c:v>
                </c:pt>
                <c:pt idx="6">
                  <c:v>20.095933440637562</c:v>
                </c:pt>
                <c:pt idx="7">
                  <c:v>23.290582442339918</c:v>
                </c:pt>
                <c:pt idx="8">
                  <c:v>25.430981428065493</c:v>
                </c:pt>
                <c:pt idx="9">
                  <c:v>26.1243337752068</c:v>
                </c:pt>
                <c:pt idx="10">
                  <c:v>39.534838594581622</c:v>
                </c:pt>
                <c:pt idx="11">
                  <c:v>35.471571070651798</c:v>
                </c:pt>
                <c:pt idx="12">
                  <c:v>34.040788601981433</c:v>
                </c:pt>
                <c:pt idx="13">
                  <c:v>40.235072258724941</c:v>
                </c:pt>
                <c:pt idx="14">
                  <c:v>29.800297285483751</c:v>
                </c:pt>
                <c:pt idx="15">
                  <c:v>53.157095647070889</c:v>
                </c:pt>
              </c:numCache>
            </c:numRef>
          </c:yVal>
          <c:smooth val="0"/>
          <c:extLst>
            <c:ext xmlns:c16="http://schemas.microsoft.com/office/drawing/2014/chart" uri="{C3380CC4-5D6E-409C-BE32-E72D297353CC}">
              <c16:uniqueId val="{00000002-069F-4047-8F6D-0DCCF9F1B4CC}"/>
            </c:ext>
          </c:extLst>
        </c:ser>
        <c:ser>
          <c:idx val="3"/>
          <c:order val="3"/>
          <c:tx>
            <c:strRef>
              <c:f>'Energy Usage'!$H$2</c:f>
              <c:strCache>
                <c:ptCount val="1"/>
                <c:pt idx="0">
                  <c:v>New Construction  Total EUI (KBTU/ft²)</c:v>
                </c:pt>
              </c:strCache>
            </c:strRef>
          </c:tx>
          <c:spPr>
            <a:ln w="25400" cap="rnd">
              <a:noFill/>
              <a:round/>
            </a:ln>
            <a:effectLst/>
          </c:spPr>
          <c:marker>
            <c:symbol val="diamond"/>
            <c:size val="7"/>
            <c:spPr>
              <a:solidFill>
                <a:srgbClr val="00B050"/>
              </a:solidFill>
              <a:ln w="9525">
                <a:solidFill>
                  <a:srgbClr val="001132"/>
                </a:solidFill>
              </a:ln>
              <a:effectLst/>
            </c:spPr>
          </c:marker>
          <c:yVal>
            <c:numRef>
              <c:f>'Energy Usage'!$H$3:$H$18</c:f>
              <c:numCache>
                <c:formatCode>General</c:formatCode>
                <c:ptCount val="16"/>
                <c:pt idx="0">
                  <c:v>18.760000000000002</c:v>
                </c:pt>
                <c:pt idx="1">
                  <c:v>17.72</c:v>
                </c:pt>
                <c:pt idx="2">
                  <c:v>15.75</c:v>
                </c:pt>
                <c:pt idx="3">
                  <c:v>18.68</c:v>
                </c:pt>
                <c:pt idx="4">
                  <c:v>15.91</c:v>
                </c:pt>
                <c:pt idx="5">
                  <c:v>13.86</c:v>
                </c:pt>
                <c:pt idx="6">
                  <c:v>13.47</c:v>
                </c:pt>
                <c:pt idx="7">
                  <c:v>15.57</c:v>
                </c:pt>
                <c:pt idx="8">
                  <c:v>16.22</c:v>
                </c:pt>
                <c:pt idx="9">
                  <c:v>17.059999999999999</c:v>
                </c:pt>
                <c:pt idx="10">
                  <c:v>21.63</c:v>
                </c:pt>
                <c:pt idx="11">
                  <c:v>19.029999999999998</c:v>
                </c:pt>
                <c:pt idx="12">
                  <c:v>20.07</c:v>
                </c:pt>
                <c:pt idx="13">
                  <c:v>22.029999999999998</c:v>
                </c:pt>
                <c:pt idx="14">
                  <c:v>23.09</c:v>
                </c:pt>
                <c:pt idx="15">
                  <c:v>24.66</c:v>
                </c:pt>
              </c:numCache>
            </c:numRef>
          </c:yVal>
          <c:smooth val="0"/>
          <c:extLst>
            <c:ext xmlns:c16="http://schemas.microsoft.com/office/drawing/2014/chart" uri="{C3380CC4-5D6E-409C-BE32-E72D297353CC}">
              <c16:uniqueId val="{00000003-069F-4047-8F6D-0DCCF9F1B4CC}"/>
            </c:ext>
          </c:extLst>
        </c:ser>
        <c:dLbls>
          <c:showLegendKey val="0"/>
          <c:showVal val="0"/>
          <c:showCatName val="0"/>
          <c:showSerName val="0"/>
          <c:showPercent val="0"/>
          <c:showBubbleSize val="0"/>
        </c:dLbls>
        <c:axId val="758910767"/>
        <c:axId val="758909327"/>
      </c:scatterChart>
      <c:catAx>
        <c:axId val="758910767"/>
        <c:scaling>
          <c:orientation val="minMax"/>
        </c:scaling>
        <c:delete val="0"/>
        <c:axPos val="b"/>
        <c:title>
          <c:tx>
            <c:rich>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Climate Zone</a:t>
                </a:r>
              </a:p>
            </c:rich>
          </c:tx>
          <c:layout>
            <c:manualLayout>
              <c:xMode val="edge"/>
              <c:yMode val="edge"/>
              <c:x val="0.48255556526229237"/>
              <c:y val="0.8403780585805608"/>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09327"/>
        <c:crosses val="autoZero"/>
        <c:auto val="1"/>
        <c:lblAlgn val="ctr"/>
        <c:lblOffset val="100"/>
        <c:noMultiLvlLbl val="0"/>
      </c:catAx>
      <c:valAx>
        <c:axId val="758909327"/>
        <c:scaling>
          <c:orientation val="minMax"/>
          <c:max val="60"/>
          <c:min val="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Total EUI (kBtu/ft²)</a:t>
                </a:r>
              </a:p>
            </c:rich>
          </c:tx>
          <c:layout>
            <c:manualLayout>
              <c:xMode val="edge"/>
              <c:yMode val="edge"/>
              <c:x val="6.1162073619680356E-3"/>
              <c:y val="0.2802664576629727"/>
            </c:manualLayout>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10767"/>
        <c:crosses val="autoZero"/>
        <c:crossBetween val="between"/>
        <c:majorUnit val="10"/>
      </c:valAx>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sz="1400" baseline="0"/>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r>
              <a:rPr lang="en-US"/>
              <a:t>Warehouse CalBEM Prototype vs. National Average</a:t>
            </a:r>
          </a:p>
        </c:rich>
      </c:tx>
      <c:overlay val="0"/>
      <c:spPr>
        <a:noFill/>
        <a:ln>
          <a:noFill/>
        </a:ln>
        <a:effectLst/>
      </c:spPr>
      <c:txPr>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1"/>
          <c:order val="0"/>
          <c:tx>
            <c:strRef>
              <c:f>'Energy Usage'!$K$2</c:f>
              <c:strCache>
                <c:ptCount val="1"/>
                <c:pt idx="0">
                  <c:v>Acceptable Range (25% Lower)</c:v>
                </c:pt>
              </c:strCache>
            </c:strRef>
          </c:tx>
          <c:spPr>
            <a:noFill/>
            <a:ln>
              <a:noFill/>
            </a:ln>
            <a:effectLst/>
          </c:spPr>
          <c:invertIfNegative val="0"/>
          <c:val>
            <c:numRef>
              <c:f>'Energy Usage'!$K$3:$K$18</c:f>
              <c:numCache>
                <c:formatCode>General</c:formatCode>
                <c:ptCount val="16"/>
                <c:pt idx="0">
                  <c:v>26.625</c:v>
                </c:pt>
                <c:pt idx="1">
                  <c:v>22.424999999999997</c:v>
                </c:pt>
                <c:pt idx="2">
                  <c:v>21.075000000000003</c:v>
                </c:pt>
                <c:pt idx="3">
                  <c:v>23.174999999999997</c:v>
                </c:pt>
                <c:pt idx="4">
                  <c:v>20.325000000000003</c:v>
                </c:pt>
                <c:pt idx="5">
                  <c:v>18.825000000000003</c:v>
                </c:pt>
                <c:pt idx="6">
                  <c:v>18.674999999999997</c:v>
                </c:pt>
                <c:pt idx="7">
                  <c:v>19.875</c:v>
                </c:pt>
                <c:pt idx="8">
                  <c:v>20.475000000000001</c:v>
                </c:pt>
                <c:pt idx="9">
                  <c:v>21.299999999999997</c:v>
                </c:pt>
                <c:pt idx="10">
                  <c:v>24.599999999999998</c:v>
                </c:pt>
                <c:pt idx="11">
                  <c:v>23.25</c:v>
                </c:pt>
                <c:pt idx="12">
                  <c:v>24.375</c:v>
                </c:pt>
                <c:pt idx="13">
                  <c:v>25.275000000000002</c:v>
                </c:pt>
                <c:pt idx="14">
                  <c:v>25.275000000000002</c:v>
                </c:pt>
                <c:pt idx="15">
                  <c:v>28.200000000000003</c:v>
                </c:pt>
              </c:numCache>
            </c:numRef>
          </c:val>
          <c:extLst>
            <c:ext xmlns:c16="http://schemas.microsoft.com/office/drawing/2014/chart" uri="{C3380CC4-5D6E-409C-BE32-E72D297353CC}">
              <c16:uniqueId val="{00000000-6C7A-4A4D-9065-AE75FD3B69ED}"/>
            </c:ext>
          </c:extLst>
        </c:ser>
        <c:ser>
          <c:idx val="2"/>
          <c:order val="1"/>
          <c:tx>
            <c:strRef>
              <c:f>'Energy Usage'!$L$2</c:f>
              <c:strCache>
                <c:ptCount val="1"/>
                <c:pt idx="0">
                  <c:v>National Average Acceptable EUI Range</c:v>
                </c:pt>
              </c:strCache>
            </c:strRef>
          </c:tx>
          <c:spPr>
            <a:solidFill>
              <a:srgbClr val="CCCCFF"/>
            </a:solidFill>
            <a:ln>
              <a:solidFill>
                <a:srgbClr val="8238BA"/>
              </a:solidFill>
            </a:ln>
            <a:effectLst/>
          </c:spPr>
          <c:invertIfNegative val="0"/>
          <c:val>
            <c:numRef>
              <c:f>'Energy Usage'!$L$3:$L$18</c:f>
              <c:numCache>
                <c:formatCode>General</c:formatCode>
                <c:ptCount val="16"/>
                <c:pt idx="0">
                  <c:v>17.75</c:v>
                </c:pt>
                <c:pt idx="1">
                  <c:v>14.950000000000003</c:v>
                </c:pt>
                <c:pt idx="2">
                  <c:v>14.049999999999997</c:v>
                </c:pt>
                <c:pt idx="3">
                  <c:v>15.450000000000003</c:v>
                </c:pt>
                <c:pt idx="4">
                  <c:v>13.549999999999997</c:v>
                </c:pt>
                <c:pt idx="5">
                  <c:v>12.549999999999997</c:v>
                </c:pt>
                <c:pt idx="6">
                  <c:v>12.450000000000003</c:v>
                </c:pt>
                <c:pt idx="7">
                  <c:v>13.25</c:v>
                </c:pt>
                <c:pt idx="8">
                  <c:v>13.649999999999999</c:v>
                </c:pt>
                <c:pt idx="9">
                  <c:v>14.200000000000003</c:v>
                </c:pt>
                <c:pt idx="10">
                  <c:v>16.400000000000002</c:v>
                </c:pt>
                <c:pt idx="11">
                  <c:v>15.5</c:v>
                </c:pt>
                <c:pt idx="12">
                  <c:v>16.25</c:v>
                </c:pt>
                <c:pt idx="13">
                  <c:v>16.849999999999998</c:v>
                </c:pt>
                <c:pt idx="14">
                  <c:v>16.849999999999998</c:v>
                </c:pt>
                <c:pt idx="15">
                  <c:v>18.799999999999997</c:v>
                </c:pt>
              </c:numCache>
            </c:numRef>
          </c:val>
          <c:extLst>
            <c:ext xmlns:c16="http://schemas.microsoft.com/office/drawing/2014/chart" uri="{C3380CC4-5D6E-409C-BE32-E72D297353CC}">
              <c16:uniqueId val="{00000001-6C7A-4A4D-9065-AE75FD3B69ED}"/>
            </c:ext>
          </c:extLst>
        </c:ser>
        <c:dLbls>
          <c:showLegendKey val="0"/>
          <c:showVal val="0"/>
          <c:showCatName val="0"/>
          <c:showSerName val="0"/>
          <c:showPercent val="0"/>
          <c:showBubbleSize val="0"/>
        </c:dLbls>
        <c:gapWidth val="150"/>
        <c:overlap val="100"/>
        <c:axId val="758910767"/>
        <c:axId val="758909327"/>
      </c:barChart>
      <c:scatterChart>
        <c:scatterStyle val="lineMarker"/>
        <c:varyColors val="0"/>
        <c:ser>
          <c:idx val="0"/>
          <c:order val="2"/>
          <c:tx>
            <c:strRef>
              <c:f>'Energy Usage'!$E$2</c:f>
              <c:strCache>
                <c:ptCount val="1"/>
                <c:pt idx="0">
                  <c:v>CalBEM Total  EUI (KBTU/ft²)</c:v>
                </c:pt>
              </c:strCache>
            </c:strRef>
          </c:tx>
          <c:spPr>
            <a:ln w="25400" cap="rnd">
              <a:noFill/>
              <a:round/>
            </a:ln>
            <a:effectLst/>
          </c:spPr>
          <c:marker>
            <c:symbol val="square"/>
            <c:size val="7"/>
            <c:spPr>
              <a:solidFill>
                <a:schemeClr val="accent1"/>
              </a:solidFill>
              <a:ln w="9525">
                <a:solidFill>
                  <a:srgbClr val="001132"/>
                </a:solidFill>
              </a:ln>
              <a:effectLst/>
            </c:spPr>
          </c:marker>
          <c:yVal>
            <c:numRef>
              <c:f>'Energy Usage'!$E$3:$E$18</c:f>
              <c:numCache>
                <c:formatCode>0.0</c:formatCode>
                <c:ptCount val="16"/>
                <c:pt idx="0">
                  <c:v>44.374870207135672</c:v>
                </c:pt>
                <c:pt idx="1">
                  <c:v>35.478492802612294</c:v>
                </c:pt>
                <c:pt idx="2">
                  <c:v>30.997976029941796</c:v>
                </c:pt>
                <c:pt idx="3">
                  <c:v>36.236776931153507</c:v>
                </c:pt>
                <c:pt idx="4">
                  <c:v>30.112959586796876</c:v>
                </c:pt>
                <c:pt idx="5">
                  <c:v>21.2389901340715</c:v>
                </c:pt>
                <c:pt idx="6">
                  <c:v>20.095933440637562</c:v>
                </c:pt>
                <c:pt idx="7">
                  <c:v>23.290582442339918</c:v>
                </c:pt>
                <c:pt idx="8">
                  <c:v>25.430981428065493</c:v>
                </c:pt>
                <c:pt idx="9">
                  <c:v>26.1243337752068</c:v>
                </c:pt>
                <c:pt idx="10">
                  <c:v>39.534838594581622</c:v>
                </c:pt>
                <c:pt idx="11">
                  <c:v>35.471571070651798</c:v>
                </c:pt>
                <c:pt idx="12">
                  <c:v>34.040788601981433</c:v>
                </c:pt>
                <c:pt idx="13">
                  <c:v>40.235072258724941</c:v>
                </c:pt>
                <c:pt idx="14">
                  <c:v>29.800297285483751</c:v>
                </c:pt>
                <c:pt idx="15">
                  <c:v>53.157095647070889</c:v>
                </c:pt>
              </c:numCache>
            </c:numRef>
          </c:yVal>
          <c:smooth val="0"/>
          <c:extLst>
            <c:ext xmlns:c16="http://schemas.microsoft.com/office/drawing/2014/chart" uri="{C3380CC4-5D6E-409C-BE32-E72D297353CC}">
              <c16:uniqueId val="{00000002-6C7A-4A4D-9065-AE75FD3B69ED}"/>
            </c:ext>
          </c:extLst>
        </c:ser>
        <c:ser>
          <c:idx val="3"/>
          <c:order val="3"/>
          <c:tx>
            <c:strRef>
              <c:f>'Energy Usage'!$H$2</c:f>
              <c:strCache>
                <c:ptCount val="1"/>
                <c:pt idx="0">
                  <c:v>New Construction  Total EUI (KBTU/ft²)</c:v>
                </c:pt>
              </c:strCache>
            </c:strRef>
          </c:tx>
          <c:spPr>
            <a:ln w="25400" cap="rnd">
              <a:noFill/>
              <a:round/>
            </a:ln>
            <a:effectLst/>
          </c:spPr>
          <c:marker>
            <c:symbol val="diamond"/>
            <c:size val="7"/>
            <c:spPr>
              <a:solidFill>
                <a:srgbClr val="00B050"/>
              </a:solidFill>
              <a:ln w="9525">
                <a:solidFill>
                  <a:srgbClr val="001132"/>
                </a:solidFill>
              </a:ln>
              <a:effectLst/>
            </c:spPr>
          </c:marker>
          <c:yVal>
            <c:numRef>
              <c:f>'Energy Usage'!$H$3:$H$18</c:f>
              <c:numCache>
                <c:formatCode>General</c:formatCode>
                <c:ptCount val="16"/>
                <c:pt idx="0">
                  <c:v>18.760000000000002</c:v>
                </c:pt>
                <c:pt idx="1">
                  <c:v>17.72</c:v>
                </c:pt>
                <c:pt idx="2">
                  <c:v>15.75</c:v>
                </c:pt>
                <c:pt idx="3">
                  <c:v>18.68</c:v>
                </c:pt>
                <c:pt idx="4">
                  <c:v>15.91</c:v>
                </c:pt>
                <c:pt idx="5">
                  <c:v>13.86</c:v>
                </c:pt>
                <c:pt idx="6">
                  <c:v>13.47</c:v>
                </c:pt>
                <c:pt idx="7">
                  <c:v>15.57</c:v>
                </c:pt>
                <c:pt idx="8">
                  <c:v>16.22</c:v>
                </c:pt>
                <c:pt idx="9">
                  <c:v>17.059999999999999</c:v>
                </c:pt>
                <c:pt idx="10">
                  <c:v>21.63</c:v>
                </c:pt>
                <c:pt idx="11">
                  <c:v>19.029999999999998</c:v>
                </c:pt>
                <c:pt idx="12">
                  <c:v>20.07</c:v>
                </c:pt>
                <c:pt idx="13">
                  <c:v>22.029999999999998</c:v>
                </c:pt>
                <c:pt idx="14">
                  <c:v>23.09</c:v>
                </c:pt>
                <c:pt idx="15">
                  <c:v>24.66</c:v>
                </c:pt>
              </c:numCache>
            </c:numRef>
          </c:yVal>
          <c:smooth val="0"/>
          <c:extLst>
            <c:ext xmlns:c16="http://schemas.microsoft.com/office/drawing/2014/chart" uri="{C3380CC4-5D6E-409C-BE32-E72D297353CC}">
              <c16:uniqueId val="{00000003-6C7A-4A4D-9065-AE75FD3B69ED}"/>
            </c:ext>
          </c:extLst>
        </c:ser>
        <c:dLbls>
          <c:showLegendKey val="0"/>
          <c:showVal val="0"/>
          <c:showCatName val="0"/>
          <c:showSerName val="0"/>
          <c:showPercent val="0"/>
          <c:showBubbleSize val="0"/>
        </c:dLbls>
        <c:axId val="758910767"/>
        <c:axId val="758909327"/>
      </c:scatterChart>
      <c:catAx>
        <c:axId val="758910767"/>
        <c:scaling>
          <c:orientation val="minMax"/>
        </c:scaling>
        <c:delete val="0"/>
        <c:axPos val="b"/>
        <c:title>
          <c:tx>
            <c:rich>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Climate Zone</a:t>
                </a:r>
              </a:p>
            </c:rich>
          </c:tx>
          <c:layout>
            <c:manualLayout>
              <c:xMode val="edge"/>
              <c:yMode val="edge"/>
              <c:x val="0.48255556526229237"/>
              <c:y val="0.8403780585805608"/>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09327"/>
        <c:crosses val="autoZero"/>
        <c:auto val="1"/>
        <c:lblAlgn val="ctr"/>
        <c:lblOffset val="100"/>
        <c:noMultiLvlLbl val="0"/>
      </c:catAx>
      <c:valAx>
        <c:axId val="758909327"/>
        <c:scaling>
          <c:orientation val="minMax"/>
          <c:min val="1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Total EUI (kBtu/ft²)</a:t>
                </a:r>
              </a:p>
            </c:rich>
          </c:tx>
          <c:layout>
            <c:manualLayout>
              <c:xMode val="edge"/>
              <c:yMode val="edge"/>
              <c:x val="6.1162073619680356E-3"/>
              <c:y val="0.2802664576629727"/>
            </c:manualLayout>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10767"/>
        <c:crosses val="autoZero"/>
        <c:crossBetween val="between"/>
        <c:majorUnit val="10"/>
      </c:valAx>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sz="1400" baseline="0"/>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Schedules!$C$60</c:f>
          <c:strCache>
            <c:ptCount val="1"/>
            <c:pt idx="0">
              <c:v>Lights</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Schedules!$E$60</c:f>
              <c:strCache>
                <c:ptCount val="1"/>
                <c:pt idx="0">
                  <c:v>Weekday</c:v>
                </c:pt>
              </c:strCache>
            </c:strRef>
          </c:tx>
          <c:spPr>
            <a:ln w="28575" cap="rnd">
              <a:solidFill>
                <a:schemeClr val="accent1"/>
              </a:solidFill>
              <a:round/>
            </a:ln>
            <a:effectLst/>
          </c:spPr>
          <c:marker>
            <c:symbol val="none"/>
          </c:marker>
          <c:val>
            <c:numRef>
              <c:f>Schedules!$F$60:$AC$60</c:f>
              <c:numCache>
                <c:formatCode>0.00</c:formatCode>
                <c:ptCount val="24"/>
                <c:pt idx="0">
                  <c:v>0.05</c:v>
                </c:pt>
                <c:pt idx="1">
                  <c:v>0.05</c:v>
                </c:pt>
                <c:pt idx="2">
                  <c:v>0.05</c:v>
                </c:pt>
                <c:pt idx="3">
                  <c:v>0.05</c:v>
                </c:pt>
                <c:pt idx="4">
                  <c:v>0.05</c:v>
                </c:pt>
                <c:pt idx="5">
                  <c:v>0.1</c:v>
                </c:pt>
                <c:pt idx="6">
                  <c:v>0.1</c:v>
                </c:pt>
                <c:pt idx="7">
                  <c:v>0.3</c:v>
                </c:pt>
                <c:pt idx="8">
                  <c:v>0.65</c:v>
                </c:pt>
                <c:pt idx="9">
                  <c:v>0.65</c:v>
                </c:pt>
                <c:pt idx="10">
                  <c:v>0.65</c:v>
                </c:pt>
                <c:pt idx="11">
                  <c:v>0.65</c:v>
                </c:pt>
                <c:pt idx="12">
                  <c:v>0.65</c:v>
                </c:pt>
                <c:pt idx="13">
                  <c:v>0.65</c:v>
                </c:pt>
                <c:pt idx="14">
                  <c:v>0.65</c:v>
                </c:pt>
                <c:pt idx="15">
                  <c:v>0.65</c:v>
                </c:pt>
                <c:pt idx="16">
                  <c:v>0.65</c:v>
                </c:pt>
                <c:pt idx="17">
                  <c:v>0.35</c:v>
                </c:pt>
                <c:pt idx="18">
                  <c:v>0.3</c:v>
                </c:pt>
                <c:pt idx="19">
                  <c:v>0.3</c:v>
                </c:pt>
                <c:pt idx="20">
                  <c:v>0.2</c:v>
                </c:pt>
                <c:pt idx="21">
                  <c:v>0.2</c:v>
                </c:pt>
                <c:pt idx="22">
                  <c:v>0.1</c:v>
                </c:pt>
                <c:pt idx="23">
                  <c:v>0.05</c:v>
                </c:pt>
              </c:numCache>
            </c:numRef>
          </c:val>
          <c:smooth val="0"/>
          <c:extLst>
            <c:ext xmlns:c16="http://schemas.microsoft.com/office/drawing/2014/chart" uri="{C3380CC4-5D6E-409C-BE32-E72D297353CC}">
              <c16:uniqueId val="{00000000-CDA0-47AB-BB9C-56C2B9BA9FF5}"/>
            </c:ext>
          </c:extLst>
        </c:ser>
        <c:ser>
          <c:idx val="1"/>
          <c:order val="1"/>
          <c:tx>
            <c:strRef>
              <c:f>Schedules!$E$61</c:f>
              <c:strCache>
                <c:ptCount val="1"/>
                <c:pt idx="0">
                  <c:v>Saturday</c:v>
                </c:pt>
              </c:strCache>
            </c:strRef>
          </c:tx>
          <c:spPr>
            <a:ln w="28575" cap="rnd">
              <a:solidFill>
                <a:schemeClr val="accent2"/>
              </a:solidFill>
              <a:round/>
            </a:ln>
            <a:effectLst/>
          </c:spPr>
          <c:marker>
            <c:symbol val="none"/>
          </c:marker>
          <c:val>
            <c:numRef>
              <c:f>Schedules!$F$61:$AC$61</c:f>
              <c:numCache>
                <c:formatCode>0.00</c:formatCode>
                <c:ptCount val="24"/>
                <c:pt idx="0">
                  <c:v>0.05</c:v>
                </c:pt>
                <c:pt idx="1">
                  <c:v>0.05</c:v>
                </c:pt>
                <c:pt idx="2">
                  <c:v>0.05</c:v>
                </c:pt>
                <c:pt idx="3">
                  <c:v>0.05</c:v>
                </c:pt>
                <c:pt idx="4">
                  <c:v>0.05</c:v>
                </c:pt>
                <c:pt idx="5">
                  <c:v>0.05</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1-CDA0-47AB-BB9C-56C2B9BA9FF5}"/>
            </c:ext>
          </c:extLst>
        </c:ser>
        <c:ser>
          <c:idx val="2"/>
          <c:order val="2"/>
          <c:tx>
            <c:strRef>
              <c:f>Schedules!$E$62</c:f>
              <c:strCache>
                <c:ptCount val="1"/>
                <c:pt idx="0">
                  <c:v>Sunday</c:v>
                </c:pt>
              </c:strCache>
            </c:strRef>
          </c:tx>
          <c:spPr>
            <a:ln w="28575" cap="rnd">
              <a:solidFill>
                <a:schemeClr val="accent3"/>
              </a:solidFill>
              <a:round/>
            </a:ln>
            <a:effectLst/>
          </c:spPr>
          <c:marker>
            <c:symbol val="none"/>
          </c:marker>
          <c:val>
            <c:numRef>
              <c:f>Schedules!$F$62:$AC$62</c:f>
              <c:numCache>
                <c:formatCode>0.00</c:formatCode>
                <c:ptCount val="24"/>
                <c:pt idx="0">
                  <c:v>0.05</c:v>
                </c:pt>
                <c:pt idx="1">
                  <c:v>0.05</c:v>
                </c:pt>
                <c:pt idx="2">
                  <c:v>0.05</c:v>
                </c:pt>
                <c:pt idx="3">
                  <c:v>0.05</c:v>
                </c:pt>
                <c:pt idx="4">
                  <c:v>0.05</c:v>
                </c:pt>
                <c:pt idx="5">
                  <c:v>0.05</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2-CDA0-47AB-BB9C-56C2B9BA9FF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Schedules!$C$19</c:f>
          <c:strCache>
            <c:ptCount val="1"/>
            <c:pt idx="0">
              <c:v>Infiltration</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Schedules!$E$19</c:f>
              <c:strCache>
                <c:ptCount val="1"/>
                <c:pt idx="0">
                  <c:v>Weekday</c:v>
                </c:pt>
              </c:strCache>
            </c:strRef>
          </c:tx>
          <c:spPr>
            <a:ln w="28575" cap="rnd">
              <a:solidFill>
                <a:schemeClr val="accent1"/>
              </a:solidFill>
              <a:round/>
            </a:ln>
            <a:effectLst/>
          </c:spPr>
          <c:marker>
            <c:symbol val="none"/>
          </c:marker>
          <c:val>
            <c:numRef>
              <c:f>Schedules!$F$19:$AC$19</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A267-4E1F-92B5-F569B6561890}"/>
            </c:ext>
          </c:extLst>
        </c:ser>
        <c:ser>
          <c:idx val="1"/>
          <c:order val="1"/>
          <c:tx>
            <c:strRef>
              <c:f>Schedules!$E$20</c:f>
              <c:strCache>
                <c:ptCount val="1"/>
                <c:pt idx="0">
                  <c:v>Saturday</c:v>
                </c:pt>
              </c:strCache>
            </c:strRef>
          </c:tx>
          <c:spPr>
            <a:ln w="28575" cap="rnd">
              <a:solidFill>
                <a:schemeClr val="accent2"/>
              </a:solidFill>
              <a:round/>
            </a:ln>
            <a:effectLst/>
          </c:spPr>
          <c:marker>
            <c:symbol val="none"/>
          </c:marker>
          <c:val>
            <c:numRef>
              <c:f>Schedules!$F$20:$AC$20</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1-A267-4E1F-92B5-F569B6561890}"/>
            </c:ext>
          </c:extLst>
        </c:ser>
        <c:ser>
          <c:idx val="2"/>
          <c:order val="2"/>
          <c:tx>
            <c:strRef>
              <c:f>Schedules!$E$21</c:f>
              <c:strCache>
                <c:ptCount val="1"/>
                <c:pt idx="0">
                  <c:v>Sunday</c:v>
                </c:pt>
              </c:strCache>
            </c:strRef>
          </c:tx>
          <c:spPr>
            <a:ln w="28575" cap="rnd">
              <a:solidFill>
                <a:schemeClr val="accent3"/>
              </a:solidFill>
              <a:round/>
            </a:ln>
            <a:effectLst/>
          </c:spPr>
          <c:marker>
            <c:symbol val="none"/>
          </c:marker>
          <c:val>
            <c:numRef>
              <c:f>Schedules!$F$21:$AC$21</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2-A267-4E1F-92B5-F569B6561890}"/>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Schedules!$C$13</c:f>
          <c:strCache>
            <c:ptCount val="1"/>
            <c:pt idx="0">
              <c:v>HVACAvail</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Schedules!$E$13</c:f>
              <c:strCache>
                <c:ptCount val="1"/>
                <c:pt idx="0">
                  <c:v>Weekday</c:v>
                </c:pt>
              </c:strCache>
            </c:strRef>
          </c:tx>
          <c:spPr>
            <a:ln w="28575" cap="rnd">
              <a:solidFill>
                <a:schemeClr val="accent1"/>
              </a:solidFill>
              <a:round/>
            </a:ln>
            <a:effectLst/>
          </c:spPr>
          <c:marker>
            <c:symbol val="none"/>
          </c:marker>
          <c:val>
            <c:numRef>
              <c:f>Schedules!$F$13:$AC$13</c:f>
              <c:numCache>
                <c:formatCode>0.00</c:formatCode>
                <c:ptCount val="24"/>
                <c:pt idx="0">
                  <c:v>0</c:v>
                </c:pt>
                <c:pt idx="1">
                  <c:v>0</c:v>
                </c:pt>
                <c:pt idx="2">
                  <c:v>0</c:v>
                </c:pt>
                <c:pt idx="3">
                  <c:v>0</c:v>
                </c:pt>
                <c:pt idx="4">
                  <c:v>1</c:v>
                </c:pt>
                <c:pt idx="5">
                  <c:v>1</c:v>
                </c:pt>
                <c:pt idx="6">
                  <c:v>1</c:v>
                </c:pt>
                <c:pt idx="7">
                  <c:v>1</c:v>
                </c:pt>
                <c:pt idx="8">
                  <c:v>1</c:v>
                </c:pt>
                <c:pt idx="9">
                  <c:v>1</c:v>
                </c:pt>
                <c:pt idx="10">
                  <c:v>1</c:v>
                </c:pt>
                <c:pt idx="11">
                  <c:v>1</c:v>
                </c:pt>
                <c:pt idx="12">
                  <c:v>1</c:v>
                </c:pt>
                <c:pt idx="13">
                  <c:v>1</c:v>
                </c:pt>
                <c:pt idx="14">
                  <c:v>1</c:v>
                </c:pt>
                <c:pt idx="15">
                  <c:v>1</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0-897E-40A6-ABDA-32B64FD7CDBB}"/>
            </c:ext>
          </c:extLst>
        </c:ser>
        <c:ser>
          <c:idx val="1"/>
          <c:order val="1"/>
          <c:tx>
            <c:strRef>
              <c:f>Schedules!$E$14</c:f>
              <c:strCache>
                <c:ptCount val="1"/>
                <c:pt idx="0">
                  <c:v>Saturday</c:v>
                </c:pt>
              </c:strCache>
            </c:strRef>
          </c:tx>
          <c:spPr>
            <a:ln w="28575" cap="rnd">
              <a:solidFill>
                <a:schemeClr val="accent2"/>
              </a:solidFill>
              <a:round/>
            </a:ln>
            <a:effectLst/>
          </c:spPr>
          <c:marker>
            <c:symbol val="none"/>
          </c:marker>
          <c:val>
            <c:numRef>
              <c:f>Schedules!$F$14:$AC$14</c:f>
              <c:numCache>
                <c:formatCode>0.00</c:formatCode>
                <c:ptCount val="24"/>
                <c:pt idx="0">
                  <c:v>0</c:v>
                </c:pt>
                <c:pt idx="1">
                  <c:v>0</c:v>
                </c:pt>
                <c:pt idx="2">
                  <c:v>0</c:v>
                </c:pt>
                <c:pt idx="3">
                  <c:v>0</c:v>
                </c:pt>
                <c:pt idx="4">
                  <c:v>1</c:v>
                </c:pt>
                <c:pt idx="5">
                  <c:v>1</c:v>
                </c:pt>
                <c:pt idx="6">
                  <c:v>1</c:v>
                </c:pt>
                <c:pt idx="7">
                  <c:v>1</c:v>
                </c:pt>
                <c:pt idx="8">
                  <c:v>1</c:v>
                </c:pt>
                <c:pt idx="9">
                  <c:v>1</c:v>
                </c:pt>
                <c:pt idx="10">
                  <c:v>1</c:v>
                </c:pt>
                <c:pt idx="11">
                  <c:v>1</c:v>
                </c:pt>
                <c:pt idx="12">
                  <c:v>1</c:v>
                </c:pt>
                <c:pt idx="13">
                  <c:v>1</c:v>
                </c:pt>
                <c:pt idx="14">
                  <c:v>1</c:v>
                </c:pt>
                <c:pt idx="15">
                  <c:v>1</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1-897E-40A6-ABDA-32B64FD7CDBB}"/>
            </c:ext>
          </c:extLst>
        </c:ser>
        <c:ser>
          <c:idx val="2"/>
          <c:order val="2"/>
          <c:tx>
            <c:strRef>
              <c:f>Schedules!$E$15</c:f>
              <c:strCache>
                <c:ptCount val="1"/>
                <c:pt idx="0">
                  <c:v>Sunday</c:v>
                </c:pt>
              </c:strCache>
            </c:strRef>
          </c:tx>
          <c:spPr>
            <a:ln w="28575" cap="rnd">
              <a:solidFill>
                <a:schemeClr val="accent3"/>
              </a:solidFill>
              <a:round/>
            </a:ln>
            <a:effectLst/>
          </c:spPr>
          <c:marker>
            <c:symbol val="none"/>
          </c:marker>
          <c:val>
            <c:numRef>
              <c:f>Schedules!$F$15:$AC$15</c:f>
              <c:numCache>
                <c:formatCode>0.00</c:formatCode>
                <c:ptCount val="2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2-897E-40A6-ABDA-32B64FD7CDBB}"/>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Schedules!$C$16</c:f>
          <c:strCache>
            <c:ptCount val="1"/>
            <c:pt idx="0">
              <c:v>ServiceHotWater</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Schedules!$E$16</c:f>
              <c:strCache>
                <c:ptCount val="1"/>
                <c:pt idx="0">
                  <c:v>Weekday</c:v>
                </c:pt>
              </c:strCache>
            </c:strRef>
          </c:tx>
          <c:spPr>
            <a:ln w="28575" cap="rnd">
              <a:solidFill>
                <a:schemeClr val="accent1"/>
              </a:solidFill>
              <a:round/>
            </a:ln>
            <a:effectLst/>
          </c:spPr>
          <c:marker>
            <c:symbol val="none"/>
          </c:marker>
          <c:val>
            <c:numRef>
              <c:f>Schedules!$F$16:$AC$16</c:f>
              <c:numCache>
                <c:formatCode>0.00</c:formatCode>
                <c:ptCount val="24"/>
                <c:pt idx="0">
                  <c:v>0.02</c:v>
                </c:pt>
                <c:pt idx="1">
                  <c:v>0.02</c:v>
                </c:pt>
                <c:pt idx="2">
                  <c:v>0.02</c:v>
                </c:pt>
                <c:pt idx="3">
                  <c:v>0.05</c:v>
                </c:pt>
                <c:pt idx="4">
                  <c:v>7.0000000000000007E-2</c:v>
                </c:pt>
                <c:pt idx="5">
                  <c:v>0.1</c:v>
                </c:pt>
                <c:pt idx="6">
                  <c:v>0.3</c:v>
                </c:pt>
                <c:pt idx="7">
                  <c:v>0.36</c:v>
                </c:pt>
                <c:pt idx="8">
                  <c:v>0.36</c:v>
                </c:pt>
                <c:pt idx="9">
                  <c:v>0.36</c:v>
                </c:pt>
                <c:pt idx="10">
                  <c:v>0.36</c:v>
                </c:pt>
                <c:pt idx="11">
                  <c:v>0.46</c:v>
                </c:pt>
                <c:pt idx="12">
                  <c:v>0.56999999999999995</c:v>
                </c:pt>
                <c:pt idx="13">
                  <c:v>0.43</c:v>
                </c:pt>
                <c:pt idx="14">
                  <c:v>0.4</c:v>
                </c:pt>
                <c:pt idx="15">
                  <c:v>0.3</c:v>
                </c:pt>
                <c:pt idx="16">
                  <c:v>0.18</c:v>
                </c:pt>
                <c:pt idx="17">
                  <c:v>0.18</c:v>
                </c:pt>
                <c:pt idx="18">
                  <c:v>0.03</c:v>
                </c:pt>
                <c:pt idx="19">
                  <c:v>0.03</c:v>
                </c:pt>
                <c:pt idx="20">
                  <c:v>0.03</c:v>
                </c:pt>
                <c:pt idx="21">
                  <c:v>0.03</c:v>
                </c:pt>
                <c:pt idx="22">
                  <c:v>0.03</c:v>
                </c:pt>
                <c:pt idx="23">
                  <c:v>0.03</c:v>
                </c:pt>
              </c:numCache>
            </c:numRef>
          </c:val>
          <c:smooth val="0"/>
          <c:extLst>
            <c:ext xmlns:c16="http://schemas.microsoft.com/office/drawing/2014/chart" uri="{C3380CC4-5D6E-409C-BE32-E72D297353CC}">
              <c16:uniqueId val="{00000000-3892-4483-86FE-254C151EC2DC}"/>
            </c:ext>
          </c:extLst>
        </c:ser>
        <c:ser>
          <c:idx val="1"/>
          <c:order val="1"/>
          <c:tx>
            <c:strRef>
              <c:f>Schedules!$E$17</c:f>
              <c:strCache>
                <c:ptCount val="1"/>
                <c:pt idx="0">
                  <c:v>Saturday</c:v>
                </c:pt>
              </c:strCache>
            </c:strRef>
          </c:tx>
          <c:spPr>
            <a:ln w="28575" cap="rnd">
              <a:solidFill>
                <a:schemeClr val="accent2"/>
              </a:solidFill>
              <a:round/>
            </a:ln>
            <a:effectLst/>
          </c:spPr>
          <c:marker>
            <c:symbol val="none"/>
          </c:marker>
          <c:val>
            <c:numRef>
              <c:f>Schedules!$F$17:$AC$17</c:f>
              <c:numCache>
                <c:formatCode>0.00</c:formatCode>
                <c:ptCount val="24"/>
                <c:pt idx="0">
                  <c:v>0.02</c:v>
                </c:pt>
                <c:pt idx="1">
                  <c:v>0.02</c:v>
                </c:pt>
                <c:pt idx="2">
                  <c:v>0.02</c:v>
                </c:pt>
                <c:pt idx="3">
                  <c:v>0.05</c:v>
                </c:pt>
                <c:pt idx="4">
                  <c:v>7.0000000000000007E-2</c:v>
                </c:pt>
                <c:pt idx="5">
                  <c:v>0.1</c:v>
                </c:pt>
                <c:pt idx="6">
                  <c:v>0.3</c:v>
                </c:pt>
                <c:pt idx="7">
                  <c:v>0.36</c:v>
                </c:pt>
                <c:pt idx="8">
                  <c:v>0.36</c:v>
                </c:pt>
                <c:pt idx="9">
                  <c:v>0.36</c:v>
                </c:pt>
                <c:pt idx="10">
                  <c:v>0.36</c:v>
                </c:pt>
                <c:pt idx="11">
                  <c:v>0.46</c:v>
                </c:pt>
                <c:pt idx="12">
                  <c:v>0.56999999999999995</c:v>
                </c:pt>
                <c:pt idx="13">
                  <c:v>0.43</c:v>
                </c:pt>
                <c:pt idx="14">
                  <c:v>0.4</c:v>
                </c:pt>
                <c:pt idx="15">
                  <c:v>0.3</c:v>
                </c:pt>
                <c:pt idx="16">
                  <c:v>0.18</c:v>
                </c:pt>
                <c:pt idx="17">
                  <c:v>0.18</c:v>
                </c:pt>
                <c:pt idx="18">
                  <c:v>0.03</c:v>
                </c:pt>
                <c:pt idx="19">
                  <c:v>0.03</c:v>
                </c:pt>
                <c:pt idx="20">
                  <c:v>0.03</c:v>
                </c:pt>
                <c:pt idx="21">
                  <c:v>0.03</c:v>
                </c:pt>
                <c:pt idx="22">
                  <c:v>0.03</c:v>
                </c:pt>
                <c:pt idx="23">
                  <c:v>0.03</c:v>
                </c:pt>
              </c:numCache>
            </c:numRef>
          </c:val>
          <c:smooth val="0"/>
          <c:extLst>
            <c:ext xmlns:c16="http://schemas.microsoft.com/office/drawing/2014/chart" uri="{C3380CC4-5D6E-409C-BE32-E72D297353CC}">
              <c16:uniqueId val="{00000001-3892-4483-86FE-254C151EC2DC}"/>
            </c:ext>
          </c:extLst>
        </c:ser>
        <c:ser>
          <c:idx val="2"/>
          <c:order val="2"/>
          <c:tx>
            <c:strRef>
              <c:f>Schedules!$E$18</c:f>
              <c:strCache>
                <c:ptCount val="1"/>
                <c:pt idx="0">
                  <c:v>Sunday</c:v>
                </c:pt>
              </c:strCache>
            </c:strRef>
          </c:tx>
          <c:spPr>
            <a:ln w="28575" cap="rnd">
              <a:solidFill>
                <a:schemeClr val="accent3"/>
              </a:solidFill>
              <a:round/>
            </a:ln>
            <a:effectLst/>
          </c:spPr>
          <c:marker>
            <c:symbol val="none"/>
          </c:marker>
          <c:val>
            <c:numRef>
              <c:f>Schedules!$F$18:$AC$18</c:f>
              <c:numCache>
                <c:formatCode>0.00</c:formatCode>
                <c:ptCount val="24"/>
                <c:pt idx="0">
                  <c:v>0.02</c:v>
                </c:pt>
                <c:pt idx="1">
                  <c:v>0.02</c:v>
                </c:pt>
                <c:pt idx="2">
                  <c:v>0.02</c:v>
                </c:pt>
                <c:pt idx="3">
                  <c:v>0.02</c:v>
                </c:pt>
                <c:pt idx="4">
                  <c:v>0.02</c:v>
                </c:pt>
                <c:pt idx="5">
                  <c:v>0.02</c:v>
                </c:pt>
                <c:pt idx="6">
                  <c:v>0.02</c:v>
                </c:pt>
                <c:pt idx="7">
                  <c:v>0.02</c:v>
                </c:pt>
                <c:pt idx="8">
                  <c:v>0.02</c:v>
                </c:pt>
                <c:pt idx="9">
                  <c:v>0.02</c:v>
                </c:pt>
                <c:pt idx="10">
                  <c:v>0.02</c:v>
                </c:pt>
                <c:pt idx="11">
                  <c:v>0.02</c:v>
                </c:pt>
                <c:pt idx="12">
                  <c:v>0.04</c:v>
                </c:pt>
                <c:pt idx="13">
                  <c:v>0.04</c:v>
                </c:pt>
                <c:pt idx="14">
                  <c:v>0.02</c:v>
                </c:pt>
                <c:pt idx="15">
                  <c:v>0.02</c:v>
                </c:pt>
                <c:pt idx="16">
                  <c:v>0.02</c:v>
                </c:pt>
                <c:pt idx="17">
                  <c:v>0.02</c:v>
                </c:pt>
                <c:pt idx="18">
                  <c:v>0.02</c:v>
                </c:pt>
                <c:pt idx="19">
                  <c:v>0.02</c:v>
                </c:pt>
                <c:pt idx="20">
                  <c:v>0.02</c:v>
                </c:pt>
                <c:pt idx="21">
                  <c:v>0.02</c:v>
                </c:pt>
                <c:pt idx="22">
                  <c:v>0.02</c:v>
                </c:pt>
                <c:pt idx="23">
                  <c:v>0.02</c:v>
                </c:pt>
              </c:numCache>
            </c:numRef>
          </c:val>
          <c:smooth val="0"/>
          <c:extLst>
            <c:ext xmlns:c16="http://schemas.microsoft.com/office/drawing/2014/chart" uri="{C3380CC4-5D6E-409C-BE32-E72D297353CC}">
              <c16:uniqueId val="{00000002-3892-4483-86FE-254C151EC2DC}"/>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Schedules!$C$63</c:f>
          <c:strCache>
            <c:ptCount val="1"/>
            <c:pt idx="0">
              <c:v>ElecEquipment </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Schedules!$E$63</c:f>
              <c:strCache>
                <c:ptCount val="1"/>
                <c:pt idx="0">
                  <c:v>Weekday</c:v>
                </c:pt>
              </c:strCache>
            </c:strRef>
          </c:tx>
          <c:spPr>
            <a:ln w="28575" cap="rnd">
              <a:solidFill>
                <a:schemeClr val="accent1"/>
              </a:solidFill>
              <a:round/>
            </a:ln>
            <a:effectLst/>
          </c:spPr>
          <c:marker>
            <c:symbol val="none"/>
          </c:marker>
          <c:val>
            <c:numRef>
              <c:f>Schedules!$F$63:$AC$63</c:f>
              <c:numCache>
                <c:formatCode>0.00</c:formatCode>
                <c:ptCount val="24"/>
                <c:pt idx="0">
                  <c:v>0.45</c:v>
                </c:pt>
                <c:pt idx="1">
                  <c:v>0.45</c:v>
                </c:pt>
                <c:pt idx="2">
                  <c:v>0.45</c:v>
                </c:pt>
                <c:pt idx="3">
                  <c:v>0.45</c:v>
                </c:pt>
                <c:pt idx="4">
                  <c:v>0.45</c:v>
                </c:pt>
                <c:pt idx="5">
                  <c:v>0.45</c:v>
                </c:pt>
                <c:pt idx="6">
                  <c:v>0.45</c:v>
                </c:pt>
                <c:pt idx="7">
                  <c:v>0.74</c:v>
                </c:pt>
                <c:pt idx="8">
                  <c:v>0.87</c:v>
                </c:pt>
                <c:pt idx="9">
                  <c:v>0.9</c:v>
                </c:pt>
                <c:pt idx="10">
                  <c:v>0.9</c:v>
                </c:pt>
                <c:pt idx="11">
                  <c:v>0.9</c:v>
                </c:pt>
                <c:pt idx="12">
                  <c:v>0.9</c:v>
                </c:pt>
                <c:pt idx="13">
                  <c:v>0.9</c:v>
                </c:pt>
                <c:pt idx="14">
                  <c:v>0.9</c:v>
                </c:pt>
                <c:pt idx="15">
                  <c:v>0.9</c:v>
                </c:pt>
                <c:pt idx="16">
                  <c:v>0.9</c:v>
                </c:pt>
                <c:pt idx="17">
                  <c:v>0.7</c:v>
                </c:pt>
                <c:pt idx="18">
                  <c:v>0.5</c:v>
                </c:pt>
                <c:pt idx="19">
                  <c:v>0.5</c:v>
                </c:pt>
                <c:pt idx="20">
                  <c:v>0.5</c:v>
                </c:pt>
                <c:pt idx="21">
                  <c:v>0.45</c:v>
                </c:pt>
                <c:pt idx="22">
                  <c:v>0.45</c:v>
                </c:pt>
                <c:pt idx="23">
                  <c:v>0.45</c:v>
                </c:pt>
              </c:numCache>
            </c:numRef>
          </c:val>
          <c:smooth val="0"/>
          <c:extLst>
            <c:ext xmlns:c16="http://schemas.microsoft.com/office/drawing/2014/chart" uri="{C3380CC4-5D6E-409C-BE32-E72D297353CC}">
              <c16:uniqueId val="{00000000-86AA-42FD-A8D8-F82FAF02DE65}"/>
            </c:ext>
          </c:extLst>
        </c:ser>
        <c:ser>
          <c:idx val="1"/>
          <c:order val="1"/>
          <c:tx>
            <c:strRef>
              <c:f>Schedules!$E$64</c:f>
              <c:strCache>
                <c:ptCount val="1"/>
                <c:pt idx="0">
                  <c:v>Saturday</c:v>
                </c:pt>
              </c:strCache>
            </c:strRef>
          </c:tx>
          <c:spPr>
            <a:ln w="28575" cap="rnd">
              <a:solidFill>
                <a:schemeClr val="accent2"/>
              </a:solidFill>
              <a:round/>
            </a:ln>
            <a:effectLst/>
          </c:spPr>
          <c:marker>
            <c:symbol val="none"/>
          </c:marker>
          <c:val>
            <c:numRef>
              <c:f>Schedules!$F$64:$AC$64</c:f>
              <c:numCache>
                <c:formatCode>0.00</c:formatCode>
                <c:ptCount val="24"/>
                <c:pt idx="0">
                  <c:v>0.43</c:v>
                </c:pt>
                <c:pt idx="1">
                  <c:v>0.43</c:v>
                </c:pt>
                <c:pt idx="2">
                  <c:v>0.43</c:v>
                </c:pt>
                <c:pt idx="3">
                  <c:v>0.43</c:v>
                </c:pt>
                <c:pt idx="4">
                  <c:v>0.43</c:v>
                </c:pt>
                <c:pt idx="5">
                  <c:v>0.43</c:v>
                </c:pt>
                <c:pt idx="6">
                  <c:v>0.43</c:v>
                </c:pt>
                <c:pt idx="7">
                  <c:v>0.43</c:v>
                </c:pt>
                <c:pt idx="8">
                  <c:v>0.43</c:v>
                </c:pt>
                <c:pt idx="9">
                  <c:v>0.43</c:v>
                </c:pt>
                <c:pt idx="10">
                  <c:v>0.43</c:v>
                </c:pt>
                <c:pt idx="11">
                  <c:v>0.43</c:v>
                </c:pt>
                <c:pt idx="12">
                  <c:v>0.43</c:v>
                </c:pt>
                <c:pt idx="13">
                  <c:v>0.43</c:v>
                </c:pt>
                <c:pt idx="14">
                  <c:v>0.43</c:v>
                </c:pt>
                <c:pt idx="15">
                  <c:v>0.43</c:v>
                </c:pt>
                <c:pt idx="16">
                  <c:v>0.43</c:v>
                </c:pt>
                <c:pt idx="17">
                  <c:v>0.43</c:v>
                </c:pt>
                <c:pt idx="18">
                  <c:v>0.43</c:v>
                </c:pt>
                <c:pt idx="19">
                  <c:v>0.43</c:v>
                </c:pt>
                <c:pt idx="20">
                  <c:v>0.43</c:v>
                </c:pt>
                <c:pt idx="21">
                  <c:v>0.43</c:v>
                </c:pt>
                <c:pt idx="22">
                  <c:v>0.43</c:v>
                </c:pt>
                <c:pt idx="23">
                  <c:v>0.43</c:v>
                </c:pt>
              </c:numCache>
            </c:numRef>
          </c:val>
          <c:smooth val="0"/>
          <c:extLst>
            <c:ext xmlns:c16="http://schemas.microsoft.com/office/drawing/2014/chart" uri="{C3380CC4-5D6E-409C-BE32-E72D297353CC}">
              <c16:uniqueId val="{00000001-86AA-42FD-A8D8-F82FAF02DE65}"/>
            </c:ext>
          </c:extLst>
        </c:ser>
        <c:ser>
          <c:idx val="2"/>
          <c:order val="2"/>
          <c:tx>
            <c:strRef>
              <c:f>Schedules!$E$65</c:f>
              <c:strCache>
                <c:ptCount val="1"/>
                <c:pt idx="0">
                  <c:v>Sunday</c:v>
                </c:pt>
              </c:strCache>
            </c:strRef>
          </c:tx>
          <c:spPr>
            <a:ln w="28575" cap="rnd">
              <a:solidFill>
                <a:schemeClr val="accent3"/>
              </a:solidFill>
              <a:round/>
            </a:ln>
            <a:effectLst/>
          </c:spPr>
          <c:marker>
            <c:symbol val="none"/>
          </c:marker>
          <c:val>
            <c:numRef>
              <c:f>Schedules!$F$65:$AC$65</c:f>
              <c:numCache>
                <c:formatCode>0.00</c:formatCode>
                <c:ptCount val="24"/>
                <c:pt idx="0">
                  <c:v>0.43</c:v>
                </c:pt>
                <c:pt idx="1">
                  <c:v>0.43</c:v>
                </c:pt>
                <c:pt idx="2">
                  <c:v>0.43</c:v>
                </c:pt>
                <c:pt idx="3">
                  <c:v>0.43</c:v>
                </c:pt>
                <c:pt idx="4">
                  <c:v>0.43</c:v>
                </c:pt>
                <c:pt idx="5">
                  <c:v>0.43</c:v>
                </c:pt>
                <c:pt idx="6">
                  <c:v>0.43</c:v>
                </c:pt>
                <c:pt idx="7">
                  <c:v>0.43</c:v>
                </c:pt>
                <c:pt idx="8">
                  <c:v>0.43</c:v>
                </c:pt>
                <c:pt idx="9">
                  <c:v>0.43</c:v>
                </c:pt>
                <c:pt idx="10">
                  <c:v>0.43</c:v>
                </c:pt>
                <c:pt idx="11">
                  <c:v>0.43</c:v>
                </c:pt>
                <c:pt idx="12">
                  <c:v>0.43</c:v>
                </c:pt>
                <c:pt idx="13">
                  <c:v>0.43</c:v>
                </c:pt>
                <c:pt idx="14">
                  <c:v>0.43</c:v>
                </c:pt>
                <c:pt idx="15">
                  <c:v>0.43</c:v>
                </c:pt>
                <c:pt idx="16">
                  <c:v>0.43</c:v>
                </c:pt>
                <c:pt idx="17">
                  <c:v>0.43</c:v>
                </c:pt>
                <c:pt idx="18">
                  <c:v>0.43</c:v>
                </c:pt>
                <c:pt idx="19">
                  <c:v>0.43</c:v>
                </c:pt>
                <c:pt idx="20">
                  <c:v>0.43</c:v>
                </c:pt>
                <c:pt idx="21">
                  <c:v>0.43</c:v>
                </c:pt>
                <c:pt idx="22">
                  <c:v>0.43</c:v>
                </c:pt>
                <c:pt idx="23">
                  <c:v>0.43</c:v>
                </c:pt>
              </c:numCache>
            </c:numRef>
          </c:val>
          <c:smooth val="0"/>
          <c:extLst>
            <c:ext xmlns:c16="http://schemas.microsoft.com/office/drawing/2014/chart" uri="{C3380CC4-5D6E-409C-BE32-E72D297353CC}">
              <c16:uniqueId val="{00000002-86AA-42FD-A8D8-F82FAF02DE6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Schedules!$C$69</c:f>
          <c:strCache>
            <c:ptCount val="1"/>
            <c:pt idx="0">
              <c:v>ServiceHotWater</c:v>
            </c:pt>
          </c:strCache>
        </c:strRef>
      </c:tx>
      <c:layout>
        <c:manualLayout>
          <c:xMode val="edge"/>
          <c:yMode val="edge"/>
          <c:x val="0.34492885082009467"/>
          <c:y val="5.043944866743523E-2"/>
        </c:manualLayout>
      </c:layout>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Schedules!$E$69</c:f>
              <c:strCache>
                <c:ptCount val="1"/>
                <c:pt idx="0">
                  <c:v>Weekday</c:v>
                </c:pt>
              </c:strCache>
            </c:strRef>
          </c:tx>
          <c:spPr>
            <a:ln w="28575" cap="rnd">
              <a:solidFill>
                <a:schemeClr val="accent1"/>
              </a:solidFill>
              <a:round/>
            </a:ln>
            <a:effectLst/>
          </c:spPr>
          <c:marker>
            <c:symbol val="none"/>
          </c:marker>
          <c:val>
            <c:numRef>
              <c:f>Schedules!$F$69:$AC$69</c:f>
              <c:numCache>
                <c:formatCode>0.00</c:formatCode>
                <c:ptCount val="24"/>
                <c:pt idx="0">
                  <c:v>0.05</c:v>
                </c:pt>
                <c:pt idx="1">
                  <c:v>0.05</c:v>
                </c:pt>
                <c:pt idx="2">
                  <c:v>0.05</c:v>
                </c:pt>
                <c:pt idx="3">
                  <c:v>0.05</c:v>
                </c:pt>
                <c:pt idx="4">
                  <c:v>0.05</c:v>
                </c:pt>
                <c:pt idx="5">
                  <c:v>0.08</c:v>
                </c:pt>
                <c:pt idx="6">
                  <c:v>7.0000000000000007E-2</c:v>
                </c:pt>
                <c:pt idx="7">
                  <c:v>0.19</c:v>
                </c:pt>
                <c:pt idx="8">
                  <c:v>0.35</c:v>
                </c:pt>
                <c:pt idx="9">
                  <c:v>0.38</c:v>
                </c:pt>
                <c:pt idx="10">
                  <c:v>0.39</c:v>
                </c:pt>
                <c:pt idx="11">
                  <c:v>0.47</c:v>
                </c:pt>
                <c:pt idx="12">
                  <c:v>0.56999999999999995</c:v>
                </c:pt>
                <c:pt idx="13">
                  <c:v>0.54</c:v>
                </c:pt>
                <c:pt idx="14">
                  <c:v>0.34</c:v>
                </c:pt>
                <c:pt idx="15">
                  <c:v>0.33</c:v>
                </c:pt>
                <c:pt idx="16">
                  <c:v>0.44</c:v>
                </c:pt>
                <c:pt idx="17">
                  <c:v>0.26</c:v>
                </c:pt>
                <c:pt idx="18">
                  <c:v>0.21</c:v>
                </c:pt>
                <c:pt idx="19">
                  <c:v>0.15</c:v>
                </c:pt>
                <c:pt idx="20">
                  <c:v>0.17</c:v>
                </c:pt>
                <c:pt idx="21">
                  <c:v>0.08</c:v>
                </c:pt>
                <c:pt idx="22">
                  <c:v>0.05</c:v>
                </c:pt>
                <c:pt idx="23">
                  <c:v>0.05</c:v>
                </c:pt>
              </c:numCache>
            </c:numRef>
          </c:val>
          <c:smooth val="0"/>
          <c:extLst>
            <c:ext xmlns:c16="http://schemas.microsoft.com/office/drawing/2014/chart" uri="{C3380CC4-5D6E-409C-BE32-E72D297353CC}">
              <c16:uniqueId val="{00000000-3FD9-442E-BAED-CDBB21663685}"/>
            </c:ext>
          </c:extLst>
        </c:ser>
        <c:ser>
          <c:idx val="1"/>
          <c:order val="1"/>
          <c:tx>
            <c:strRef>
              <c:f>Schedules!$E$70</c:f>
              <c:strCache>
                <c:ptCount val="1"/>
                <c:pt idx="0">
                  <c:v>Saturday</c:v>
                </c:pt>
              </c:strCache>
            </c:strRef>
          </c:tx>
          <c:spPr>
            <a:ln w="28575" cap="rnd">
              <a:solidFill>
                <a:schemeClr val="accent2"/>
              </a:solidFill>
              <a:round/>
            </a:ln>
            <a:effectLst/>
          </c:spPr>
          <c:marker>
            <c:symbol val="none"/>
          </c:marker>
          <c:val>
            <c:numRef>
              <c:f>Schedules!$F$70:$AC$70</c:f>
              <c:numCache>
                <c:formatCode>0.00</c:formatCode>
                <c:ptCount val="24"/>
                <c:pt idx="0">
                  <c:v>0.05</c:v>
                </c:pt>
                <c:pt idx="1">
                  <c:v>0.05</c:v>
                </c:pt>
                <c:pt idx="2">
                  <c:v>0.05</c:v>
                </c:pt>
                <c:pt idx="3">
                  <c:v>0.05</c:v>
                </c:pt>
                <c:pt idx="4">
                  <c:v>0.05</c:v>
                </c:pt>
                <c:pt idx="5">
                  <c:v>0.08</c:v>
                </c:pt>
                <c:pt idx="6">
                  <c:v>7.0000000000000007E-2</c:v>
                </c:pt>
                <c:pt idx="7">
                  <c:v>0.11</c:v>
                </c:pt>
                <c:pt idx="8">
                  <c:v>0.15</c:v>
                </c:pt>
                <c:pt idx="9">
                  <c:v>0.21</c:v>
                </c:pt>
                <c:pt idx="10">
                  <c:v>0.19</c:v>
                </c:pt>
                <c:pt idx="11">
                  <c:v>0.23</c:v>
                </c:pt>
                <c:pt idx="12">
                  <c:v>0.2</c:v>
                </c:pt>
                <c:pt idx="13">
                  <c:v>0.19</c:v>
                </c:pt>
                <c:pt idx="14">
                  <c:v>0.15</c:v>
                </c:pt>
                <c:pt idx="15">
                  <c:v>0.12</c:v>
                </c:pt>
                <c:pt idx="16">
                  <c:v>0.14000000000000001</c:v>
                </c:pt>
                <c:pt idx="17">
                  <c:v>7.0000000000000007E-2</c:v>
                </c:pt>
                <c:pt idx="18">
                  <c:v>7.0000000000000007E-2</c:v>
                </c:pt>
                <c:pt idx="19">
                  <c:v>7.0000000000000007E-2</c:v>
                </c:pt>
                <c:pt idx="20">
                  <c:v>7.0000000000000007E-2</c:v>
                </c:pt>
                <c:pt idx="21">
                  <c:v>0.09</c:v>
                </c:pt>
                <c:pt idx="22">
                  <c:v>0.05</c:v>
                </c:pt>
                <c:pt idx="23">
                  <c:v>0.05</c:v>
                </c:pt>
              </c:numCache>
            </c:numRef>
          </c:val>
          <c:smooth val="0"/>
          <c:extLst>
            <c:ext xmlns:c16="http://schemas.microsoft.com/office/drawing/2014/chart" uri="{C3380CC4-5D6E-409C-BE32-E72D297353CC}">
              <c16:uniqueId val="{00000001-3FD9-442E-BAED-CDBB21663685}"/>
            </c:ext>
          </c:extLst>
        </c:ser>
        <c:ser>
          <c:idx val="2"/>
          <c:order val="2"/>
          <c:tx>
            <c:strRef>
              <c:f>Schedules!$E$71</c:f>
              <c:strCache>
                <c:ptCount val="1"/>
                <c:pt idx="0">
                  <c:v>Sunday</c:v>
                </c:pt>
              </c:strCache>
            </c:strRef>
          </c:tx>
          <c:spPr>
            <a:ln w="28575" cap="rnd">
              <a:solidFill>
                <a:schemeClr val="accent3"/>
              </a:solidFill>
              <a:round/>
            </a:ln>
            <a:effectLst/>
          </c:spPr>
          <c:marker>
            <c:symbol val="none"/>
          </c:marker>
          <c:val>
            <c:numRef>
              <c:f>Schedules!$F$71:$AC$71</c:f>
              <c:numCache>
                <c:formatCode>0.00</c:formatCode>
                <c:ptCount val="24"/>
                <c:pt idx="0">
                  <c:v>0.04</c:v>
                </c:pt>
                <c:pt idx="1">
                  <c:v>0.04</c:v>
                </c:pt>
                <c:pt idx="2">
                  <c:v>0.04</c:v>
                </c:pt>
                <c:pt idx="3">
                  <c:v>0.04</c:v>
                </c:pt>
                <c:pt idx="4">
                  <c:v>0.04</c:v>
                </c:pt>
                <c:pt idx="5">
                  <c:v>7.0000000000000007E-2</c:v>
                </c:pt>
                <c:pt idx="6">
                  <c:v>0.04</c:v>
                </c:pt>
                <c:pt idx="7">
                  <c:v>0.04</c:v>
                </c:pt>
                <c:pt idx="8">
                  <c:v>0.04</c:v>
                </c:pt>
                <c:pt idx="9">
                  <c:v>0.04</c:v>
                </c:pt>
                <c:pt idx="10">
                  <c:v>0.04</c:v>
                </c:pt>
                <c:pt idx="11">
                  <c:v>0.06</c:v>
                </c:pt>
                <c:pt idx="12">
                  <c:v>0.06</c:v>
                </c:pt>
                <c:pt idx="13">
                  <c:v>0.09</c:v>
                </c:pt>
                <c:pt idx="14">
                  <c:v>0.06</c:v>
                </c:pt>
                <c:pt idx="15">
                  <c:v>0.04</c:v>
                </c:pt>
                <c:pt idx="16">
                  <c:v>0.04</c:v>
                </c:pt>
                <c:pt idx="17">
                  <c:v>0.04</c:v>
                </c:pt>
                <c:pt idx="18">
                  <c:v>0.04</c:v>
                </c:pt>
                <c:pt idx="19">
                  <c:v>0.04</c:v>
                </c:pt>
                <c:pt idx="20">
                  <c:v>0.04</c:v>
                </c:pt>
                <c:pt idx="21">
                  <c:v>7.0000000000000007E-2</c:v>
                </c:pt>
                <c:pt idx="22">
                  <c:v>0.04</c:v>
                </c:pt>
                <c:pt idx="23">
                  <c:v>0.04</c:v>
                </c:pt>
              </c:numCache>
            </c:numRef>
          </c:val>
          <c:smooth val="0"/>
          <c:extLst>
            <c:ext xmlns:c16="http://schemas.microsoft.com/office/drawing/2014/chart" uri="{C3380CC4-5D6E-409C-BE32-E72D297353CC}">
              <c16:uniqueId val="{00000002-3FD9-442E-BAED-CDBB2166368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Schedules!$C$66</c:f>
          <c:strCache>
            <c:ptCount val="1"/>
            <c:pt idx="0">
              <c:v>HVACAvail</c:v>
            </c:pt>
          </c:strCache>
        </c:strRef>
      </c:tx>
      <c:layout>
        <c:manualLayout>
          <c:xMode val="edge"/>
          <c:yMode val="edge"/>
          <c:x val="0.34120488155873446"/>
          <c:y val="4.0835185250887793E-2"/>
        </c:manualLayout>
      </c:layout>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Schedules!$E$66</c:f>
              <c:strCache>
                <c:ptCount val="1"/>
                <c:pt idx="0">
                  <c:v>Weekday</c:v>
                </c:pt>
              </c:strCache>
            </c:strRef>
          </c:tx>
          <c:spPr>
            <a:ln w="28575" cap="rnd">
              <a:solidFill>
                <a:schemeClr val="accent1"/>
              </a:solidFill>
              <a:round/>
            </a:ln>
            <a:effectLst/>
          </c:spPr>
          <c:marker>
            <c:symbol val="none"/>
          </c:marker>
          <c:val>
            <c:numRef>
              <c:f>Schedules!$F$66:$AC$66</c:f>
              <c:numCache>
                <c:formatCode>0.00</c:formatCode>
                <c:ptCount val="24"/>
                <c:pt idx="0">
                  <c:v>0</c:v>
                </c:pt>
                <c:pt idx="1">
                  <c:v>0</c:v>
                </c:pt>
                <c:pt idx="2">
                  <c:v>0</c:v>
                </c:pt>
                <c:pt idx="3">
                  <c:v>0</c:v>
                </c:pt>
                <c:pt idx="4">
                  <c:v>0</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DBE9-4FC2-A522-E4ABF4CBAF32}"/>
            </c:ext>
          </c:extLst>
        </c:ser>
        <c:ser>
          <c:idx val="1"/>
          <c:order val="1"/>
          <c:tx>
            <c:strRef>
              <c:f>Schedules!$E$67</c:f>
              <c:strCache>
                <c:ptCount val="1"/>
                <c:pt idx="0">
                  <c:v>Saturday</c:v>
                </c:pt>
              </c:strCache>
            </c:strRef>
          </c:tx>
          <c:spPr>
            <a:ln w="28575" cap="rnd">
              <a:solidFill>
                <a:schemeClr val="accent2"/>
              </a:solidFill>
              <a:round/>
            </a:ln>
            <a:effectLst/>
          </c:spPr>
          <c:marker>
            <c:symbol val="none"/>
          </c:marker>
          <c:val>
            <c:numRef>
              <c:f>Schedules!$F$67:$AC$67</c:f>
              <c:numCache>
                <c:formatCode>0.00</c:formatCode>
                <c:ptCount val="2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1-DBE9-4FC2-A522-E4ABF4CBAF32}"/>
            </c:ext>
          </c:extLst>
        </c:ser>
        <c:ser>
          <c:idx val="2"/>
          <c:order val="2"/>
          <c:tx>
            <c:strRef>
              <c:f>Schedules!$E$68</c:f>
              <c:strCache>
                <c:ptCount val="1"/>
                <c:pt idx="0">
                  <c:v>Sunday</c:v>
                </c:pt>
              </c:strCache>
            </c:strRef>
          </c:tx>
          <c:spPr>
            <a:ln w="28575" cap="rnd">
              <a:solidFill>
                <a:schemeClr val="accent3"/>
              </a:solidFill>
              <a:round/>
            </a:ln>
            <a:effectLst/>
          </c:spPr>
          <c:marker>
            <c:symbol val="none"/>
          </c:marker>
          <c:val>
            <c:numRef>
              <c:f>Schedules!$F$68:$AC$68</c:f>
              <c:numCache>
                <c:formatCode>0.00</c:formatCode>
                <c:ptCount val="2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2-DBE9-4FC2-A522-E4ABF4CBAF32}"/>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2.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4" Type="http://schemas.openxmlformats.org/officeDocument/2006/relationships/image" Target="../media/image6.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0" Type="http://schemas.openxmlformats.org/officeDocument/2006/relationships/image" Target="../media/image17.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5.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s>
</file>

<file path=xl/drawings/_rels/drawing6.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7.xml.rels><?xml version="1.0" encoding="UTF-8" standalone="yes"?>
<Relationships xmlns="http://schemas.openxmlformats.org/package/2006/relationships"><Relationship Id="rId1" Type="http://schemas.openxmlformats.org/officeDocument/2006/relationships/image" Target="../media/image27.png"/></Relationships>
</file>

<file path=xl/drawings/_rels/drawing8.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18" Type="http://schemas.openxmlformats.org/officeDocument/2006/relationships/chart" Target="../charts/chart14.xml"/><Relationship Id="rId3" Type="http://schemas.openxmlformats.org/officeDocument/2006/relationships/chart" Target="../charts/chart3.xml"/><Relationship Id="rId21" Type="http://schemas.openxmlformats.org/officeDocument/2006/relationships/chart" Target="../charts/chart17.xml"/><Relationship Id="rId7" Type="http://schemas.openxmlformats.org/officeDocument/2006/relationships/chart" Target="../charts/chart7.xml"/><Relationship Id="rId12" Type="http://schemas.openxmlformats.org/officeDocument/2006/relationships/chart" Target="../charts/chart12.xml"/><Relationship Id="rId17" Type="http://schemas.openxmlformats.org/officeDocument/2006/relationships/image" Target="../media/image31.png"/><Relationship Id="rId2" Type="http://schemas.openxmlformats.org/officeDocument/2006/relationships/chart" Target="../charts/chart2.xml"/><Relationship Id="rId16" Type="http://schemas.openxmlformats.org/officeDocument/2006/relationships/image" Target="../media/image30.png"/><Relationship Id="rId20" Type="http://schemas.openxmlformats.org/officeDocument/2006/relationships/chart" Target="../charts/chart16.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24" Type="http://schemas.openxmlformats.org/officeDocument/2006/relationships/chart" Target="../charts/chart20.xml"/><Relationship Id="rId5" Type="http://schemas.openxmlformats.org/officeDocument/2006/relationships/chart" Target="../charts/chart5.xml"/><Relationship Id="rId15" Type="http://schemas.openxmlformats.org/officeDocument/2006/relationships/image" Target="../media/image29.png"/><Relationship Id="rId23" Type="http://schemas.openxmlformats.org/officeDocument/2006/relationships/chart" Target="../charts/chart19.xml"/><Relationship Id="rId10" Type="http://schemas.openxmlformats.org/officeDocument/2006/relationships/chart" Target="../charts/chart10.xml"/><Relationship Id="rId19" Type="http://schemas.openxmlformats.org/officeDocument/2006/relationships/chart" Target="../charts/chart15.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image" Target="../media/image28.png"/><Relationship Id="rId22" Type="http://schemas.openxmlformats.org/officeDocument/2006/relationships/chart" Target="../charts/chart18.xml"/></Relationships>
</file>

<file path=xl/drawings/_rels/drawing9.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chart" Target="../charts/chart22.xml"/><Relationship Id="rId1" Type="http://schemas.openxmlformats.org/officeDocument/2006/relationships/chart" Target="../charts/chart21.xml"/></Relationships>
</file>

<file path=xl/drawings/drawing1.xml><?xml version="1.0" encoding="utf-8"?>
<xdr:wsDr xmlns:xdr="http://schemas.openxmlformats.org/drawingml/2006/spreadsheetDrawing" xmlns:a="http://schemas.openxmlformats.org/drawingml/2006/main">
  <xdr:twoCellAnchor editAs="oneCell">
    <xdr:from>
      <xdr:col>1</xdr:col>
      <xdr:colOff>95250</xdr:colOff>
      <xdr:row>43</xdr:row>
      <xdr:rowOff>152400</xdr:rowOff>
    </xdr:from>
    <xdr:to>
      <xdr:col>1</xdr:col>
      <xdr:colOff>5934075</xdr:colOff>
      <xdr:row>60</xdr:row>
      <xdr:rowOff>17145</xdr:rowOff>
    </xdr:to>
    <xdr:pic>
      <xdr:nvPicPr>
        <xdr:cNvPr id="5" name="Picture 2">
          <a:extLst>
            <a:ext uri="{FF2B5EF4-FFF2-40B4-BE49-F238E27FC236}">
              <a16:creationId xmlns:a16="http://schemas.microsoft.com/office/drawing/2014/main" id="{5CBB8847-2C08-4E1D-340A-A1DED2E1B97F}"/>
            </a:ext>
          </a:extLst>
        </xdr:cNvPr>
        <xdr:cNvPicPr>
          <a:picLocks noChangeAspect="1"/>
        </xdr:cNvPicPr>
      </xdr:nvPicPr>
      <xdr:blipFill>
        <a:blip xmlns:r="http://schemas.openxmlformats.org/officeDocument/2006/relationships" r:embed="rId1"/>
        <a:stretch>
          <a:fillRect/>
        </a:stretch>
      </xdr:blipFill>
      <xdr:spPr>
        <a:xfrm>
          <a:off x="1076325" y="8143875"/>
          <a:ext cx="5838825" cy="27146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38100</xdr:colOff>
      <xdr:row>6</xdr:row>
      <xdr:rowOff>19050</xdr:rowOff>
    </xdr:from>
    <xdr:to>
      <xdr:col>1</xdr:col>
      <xdr:colOff>3329940</xdr:colOff>
      <xdr:row>6</xdr:row>
      <xdr:rowOff>1219200</xdr:rowOff>
    </xdr:to>
    <xdr:pic>
      <xdr:nvPicPr>
        <xdr:cNvPr id="2" name="Picture 1">
          <a:extLst>
            <a:ext uri="{FF2B5EF4-FFF2-40B4-BE49-F238E27FC236}">
              <a16:creationId xmlns:a16="http://schemas.microsoft.com/office/drawing/2014/main" id="{041A90C6-AB4A-4D81-A3E4-EBFFBA13ABFE}"/>
            </a:ext>
          </a:extLst>
        </xdr:cNvPr>
        <xdr:cNvPicPr>
          <a:picLocks noChangeAspect="1"/>
        </xdr:cNvPicPr>
      </xdr:nvPicPr>
      <xdr:blipFill>
        <a:blip xmlns:r="http://schemas.openxmlformats.org/officeDocument/2006/relationships" r:embed="rId1"/>
        <a:stretch>
          <a:fillRect/>
        </a:stretch>
      </xdr:blipFill>
      <xdr:spPr>
        <a:xfrm>
          <a:off x="1704975" y="1571625"/>
          <a:ext cx="3295650" cy="1200150"/>
        </a:xfrm>
        <a:prstGeom prst="rect">
          <a:avLst/>
        </a:prstGeom>
      </xdr:spPr>
    </xdr:pic>
    <xdr:clientData/>
  </xdr:twoCellAnchor>
  <xdr:twoCellAnchor>
    <xdr:from>
      <xdr:col>1</xdr:col>
      <xdr:colOff>78440</xdr:colOff>
      <xdr:row>33</xdr:row>
      <xdr:rowOff>302560</xdr:rowOff>
    </xdr:from>
    <xdr:to>
      <xdr:col>1</xdr:col>
      <xdr:colOff>3406622</xdr:colOff>
      <xdr:row>33</xdr:row>
      <xdr:rowOff>1495425</xdr:rowOff>
    </xdr:to>
    <xdr:pic>
      <xdr:nvPicPr>
        <xdr:cNvPr id="3" name="Picture 2" descr="image">
          <a:extLst>
            <a:ext uri="{FF2B5EF4-FFF2-40B4-BE49-F238E27FC236}">
              <a16:creationId xmlns:a16="http://schemas.microsoft.com/office/drawing/2014/main" id="{57756302-F701-486F-8F56-4C2270C398E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792940" y="6331325"/>
          <a:ext cx="3328182" cy="11928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63426</xdr:colOff>
      <xdr:row>33</xdr:row>
      <xdr:rowOff>245125</xdr:rowOff>
    </xdr:from>
    <xdr:to>
      <xdr:col>2</xdr:col>
      <xdr:colOff>3253516</xdr:colOff>
      <xdr:row>33</xdr:row>
      <xdr:rowOff>1452619</xdr:rowOff>
    </xdr:to>
    <xdr:pic>
      <xdr:nvPicPr>
        <xdr:cNvPr id="4" name="Picture 3">
          <a:extLst>
            <a:ext uri="{FF2B5EF4-FFF2-40B4-BE49-F238E27FC236}">
              <a16:creationId xmlns:a16="http://schemas.microsoft.com/office/drawing/2014/main" id="{09F8B70E-F8F8-447F-98AF-28FAE7E4D256}"/>
            </a:ext>
          </a:extLst>
        </xdr:cNvPr>
        <xdr:cNvPicPr>
          <a:picLocks noChangeAspect="1"/>
        </xdr:cNvPicPr>
      </xdr:nvPicPr>
      <xdr:blipFill>
        <a:blip xmlns:r="http://schemas.openxmlformats.org/officeDocument/2006/relationships" r:embed="rId3"/>
        <a:stretch>
          <a:fillRect/>
        </a:stretch>
      </xdr:blipFill>
      <xdr:spPr>
        <a:xfrm>
          <a:off x="5307779" y="6273890"/>
          <a:ext cx="3190090" cy="1207494"/>
        </a:xfrm>
        <a:prstGeom prst="rect">
          <a:avLst/>
        </a:prstGeom>
      </xdr:spPr>
    </xdr:pic>
    <xdr:clientData/>
  </xdr:twoCellAnchor>
  <xdr:twoCellAnchor>
    <xdr:from>
      <xdr:col>3</xdr:col>
      <xdr:colOff>244062</xdr:colOff>
      <xdr:row>33</xdr:row>
      <xdr:rowOff>133702</xdr:rowOff>
    </xdr:from>
    <xdr:to>
      <xdr:col>3</xdr:col>
      <xdr:colOff>3361766</xdr:colOff>
      <xdr:row>33</xdr:row>
      <xdr:rowOff>1543498</xdr:rowOff>
    </xdr:to>
    <xdr:pic>
      <xdr:nvPicPr>
        <xdr:cNvPr id="5" name="Picture 4">
          <a:extLst>
            <a:ext uri="{FF2B5EF4-FFF2-40B4-BE49-F238E27FC236}">
              <a16:creationId xmlns:a16="http://schemas.microsoft.com/office/drawing/2014/main" id="{952EF898-AC3A-444E-81A7-3FCC0CD01A24}"/>
            </a:ext>
          </a:extLst>
        </xdr:cNvPr>
        <xdr:cNvPicPr>
          <a:picLocks noChangeAspect="1"/>
        </xdr:cNvPicPr>
      </xdr:nvPicPr>
      <xdr:blipFill>
        <a:blip xmlns:r="http://schemas.openxmlformats.org/officeDocument/2006/relationships" r:embed="rId4"/>
        <a:stretch>
          <a:fillRect/>
        </a:stretch>
      </xdr:blipFill>
      <xdr:spPr>
        <a:xfrm>
          <a:off x="8895003" y="6162467"/>
          <a:ext cx="3117704" cy="1409796"/>
        </a:xfrm>
        <a:prstGeom prst="rect">
          <a:avLst/>
        </a:prstGeom>
      </xdr:spPr>
    </xdr:pic>
    <xdr:clientData/>
  </xdr:twoCellAnchor>
  <xdr:twoCellAnchor>
    <xdr:from>
      <xdr:col>4</xdr:col>
      <xdr:colOff>173804</xdr:colOff>
      <xdr:row>33</xdr:row>
      <xdr:rowOff>145676</xdr:rowOff>
    </xdr:from>
    <xdr:to>
      <xdr:col>4</xdr:col>
      <xdr:colOff>3301926</xdr:colOff>
      <xdr:row>33</xdr:row>
      <xdr:rowOff>1517372</xdr:rowOff>
    </xdr:to>
    <xdr:pic>
      <xdr:nvPicPr>
        <xdr:cNvPr id="6" name="Picture 5">
          <a:extLst>
            <a:ext uri="{FF2B5EF4-FFF2-40B4-BE49-F238E27FC236}">
              <a16:creationId xmlns:a16="http://schemas.microsoft.com/office/drawing/2014/main" id="{AAFC9A4A-18F1-4D10-9ABB-FE1CA3F14B01}"/>
            </a:ext>
          </a:extLst>
        </xdr:cNvPr>
        <xdr:cNvPicPr>
          <a:picLocks noChangeAspect="1"/>
        </xdr:cNvPicPr>
      </xdr:nvPicPr>
      <xdr:blipFill>
        <a:blip xmlns:r="http://schemas.openxmlformats.org/officeDocument/2006/relationships" r:embed="rId4"/>
        <a:stretch>
          <a:fillRect/>
        </a:stretch>
      </xdr:blipFill>
      <xdr:spPr>
        <a:xfrm>
          <a:off x="12444245" y="6174441"/>
          <a:ext cx="3128122" cy="137169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14</xdr:col>
      <xdr:colOff>1282561</xdr:colOff>
      <xdr:row>0</xdr:row>
      <xdr:rowOff>35035</xdr:rowOff>
    </xdr:from>
    <xdr:to>
      <xdr:col>14</xdr:col>
      <xdr:colOff>1282561</xdr:colOff>
      <xdr:row>0</xdr:row>
      <xdr:rowOff>321779</xdr:rowOff>
    </xdr:to>
    <xdr:cxnSp macro="">
      <xdr:nvCxnSpPr>
        <xdr:cNvPr id="4" name="Straight Arrow Connector 3">
          <a:extLst>
            <a:ext uri="{FF2B5EF4-FFF2-40B4-BE49-F238E27FC236}">
              <a16:creationId xmlns:a16="http://schemas.microsoft.com/office/drawing/2014/main" id="{BB0EC946-BDB6-09C9-DB60-21B21720AE71}"/>
            </a:ext>
          </a:extLst>
        </xdr:cNvPr>
        <xdr:cNvCxnSpPr/>
      </xdr:nvCxnSpPr>
      <xdr:spPr>
        <a:xfrm flipV="1">
          <a:off x="12000257" y="35035"/>
          <a:ext cx="0" cy="286744"/>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1306168</xdr:colOff>
      <xdr:row>0</xdr:row>
      <xdr:rowOff>830</xdr:rowOff>
    </xdr:from>
    <xdr:to>
      <xdr:col>14</xdr:col>
      <xdr:colOff>1546362</xdr:colOff>
      <xdr:row>1</xdr:row>
      <xdr:rowOff>36528</xdr:rowOff>
    </xdr:to>
    <xdr:sp macro="" textlink="">
      <xdr:nvSpPr>
        <xdr:cNvPr id="8" name="TextBox 7">
          <a:extLst>
            <a:ext uri="{FF2B5EF4-FFF2-40B4-BE49-F238E27FC236}">
              <a16:creationId xmlns:a16="http://schemas.microsoft.com/office/drawing/2014/main" id="{1DDDC35D-79DC-FE8D-E36B-A215903DCB00}"/>
            </a:ext>
            <a:ext uri="{147F2762-F138-4A5C-976F-8EAC2B608ADB}">
              <a16:predDERef xmlns:a16="http://schemas.microsoft.com/office/drawing/2014/main" pred="{BB0EC946-BDB6-09C9-DB60-21B21720AE71}"/>
            </a:ext>
          </a:extLst>
        </xdr:cNvPr>
        <xdr:cNvSpPr txBox="1"/>
      </xdr:nvSpPr>
      <xdr:spPr>
        <a:xfrm>
          <a:off x="13183843" y="830"/>
          <a:ext cx="240194" cy="3595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chemeClr val="tx1"/>
              </a:solidFill>
            </a:rPr>
            <a:t>N</a:t>
          </a:r>
        </a:p>
      </xdr:txBody>
    </xdr:sp>
    <xdr:clientData/>
  </xdr:twoCellAnchor>
  <xdr:twoCellAnchor editAs="oneCell">
    <xdr:from>
      <xdr:col>13</xdr:col>
      <xdr:colOff>609600</xdr:colOff>
      <xdr:row>1</xdr:row>
      <xdr:rowOff>19050</xdr:rowOff>
    </xdr:from>
    <xdr:to>
      <xdr:col>14</xdr:col>
      <xdr:colOff>1143002</xdr:colOff>
      <xdr:row>13</xdr:row>
      <xdr:rowOff>2485</xdr:rowOff>
    </xdr:to>
    <xdr:pic>
      <xdr:nvPicPr>
        <xdr:cNvPr id="6" name="Picture 5">
          <a:extLst>
            <a:ext uri="{FF2B5EF4-FFF2-40B4-BE49-F238E27FC236}">
              <a16:creationId xmlns:a16="http://schemas.microsoft.com/office/drawing/2014/main" id="{0C15721E-A112-8BD3-3C7A-BF99005263B1}"/>
            </a:ext>
            <a:ext uri="{147F2762-F138-4A5C-976F-8EAC2B608ADB}">
              <a16:predDERef xmlns:a16="http://schemas.microsoft.com/office/drawing/2014/main" pred="{1DDDC35D-79DC-FE8D-E36B-A215903DCB00}"/>
            </a:ext>
          </a:extLst>
        </xdr:cNvPr>
        <xdr:cNvPicPr>
          <a:picLocks noChangeAspect="1"/>
        </xdr:cNvPicPr>
      </xdr:nvPicPr>
      <xdr:blipFill>
        <a:blip xmlns:r="http://schemas.openxmlformats.org/officeDocument/2006/relationships" r:embed="rId1"/>
        <a:stretch>
          <a:fillRect/>
        </a:stretch>
      </xdr:blipFill>
      <xdr:spPr>
        <a:xfrm>
          <a:off x="11639550" y="342900"/>
          <a:ext cx="1381125" cy="27241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3</xdr:col>
      <xdr:colOff>198289</xdr:colOff>
      <xdr:row>77</xdr:row>
      <xdr:rowOff>117059</xdr:rowOff>
    </xdr:from>
    <xdr:to>
      <xdr:col>6</xdr:col>
      <xdr:colOff>191701</xdr:colOff>
      <xdr:row>97</xdr:row>
      <xdr:rowOff>151439</xdr:rowOff>
    </xdr:to>
    <xdr:pic>
      <xdr:nvPicPr>
        <xdr:cNvPr id="15" name="Picture 14">
          <a:extLst>
            <a:ext uri="{FF2B5EF4-FFF2-40B4-BE49-F238E27FC236}">
              <a16:creationId xmlns:a16="http://schemas.microsoft.com/office/drawing/2014/main" id="{31642C02-63B4-441B-AA72-92728104654E}"/>
            </a:ext>
          </a:extLst>
        </xdr:cNvPr>
        <xdr:cNvPicPr>
          <a:picLocks noChangeAspect="1"/>
        </xdr:cNvPicPr>
      </xdr:nvPicPr>
      <xdr:blipFill>
        <a:blip xmlns:r="http://schemas.openxmlformats.org/officeDocument/2006/relationships" r:embed="rId1"/>
        <a:stretch>
          <a:fillRect/>
        </a:stretch>
      </xdr:blipFill>
      <xdr:spPr>
        <a:xfrm>
          <a:off x="3582465" y="16163883"/>
          <a:ext cx="4912795" cy="3396144"/>
        </a:xfrm>
        <a:prstGeom prst="rect">
          <a:avLst/>
        </a:prstGeom>
      </xdr:spPr>
    </xdr:pic>
    <xdr:clientData/>
  </xdr:twoCellAnchor>
  <xdr:twoCellAnchor>
    <xdr:from>
      <xdr:col>3</xdr:col>
      <xdr:colOff>230757</xdr:colOff>
      <xdr:row>99</xdr:row>
      <xdr:rowOff>160439</xdr:rowOff>
    </xdr:from>
    <xdr:to>
      <xdr:col>6</xdr:col>
      <xdr:colOff>307118</xdr:colOff>
      <xdr:row>109</xdr:row>
      <xdr:rowOff>172531</xdr:rowOff>
    </xdr:to>
    <xdr:pic>
      <xdr:nvPicPr>
        <xdr:cNvPr id="16" name="Picture 15">
          <a:extLst>
            <a:ext uri="{FF2B5EF4-FFF2-40B4-BE49-F238E27FC236}">
              <a16:creationId xmlns:a16="http://schemas.microsoft.com/office/drawing/2014/main" id="{A422335F-25AA-4AD7-80AC-F9D96C7BF1D7}"/>
            </a:ext>
          </a:extLst>
        </xdr:cNvPr>
        <xdr:cNvPicPr>
          <a:picLocks noChangeAspect="1"/>
        </xdr:cNvPicPr>
      </xdr:nvPicPr>
      <xdr:blipFill>
        <a:blip xmlns:r="http://schemas.openxmlformats.org/officeDocument/2006/relationships" r:embed="rId2"/>
        <a:stretch>
          <a:fillRect/>
        </a:stretch>
      </xdr:blipFill>
      <xdr:spPr>
        <a:xfrm>
          <a:off x="3614933" y="19905204"/>
          <a:ext cx="4995744" cy="1692974"/>
        </a:xfrm>
        <a:prstGeom prst="rect">
          <a:avLst/>
        </a:prstGeom>
      </xdr:spPr>
    </xdr:pic>
    <xdr:clientData/>
  </xdr:twoCellAnchor>
  <xdr:twoCellAnchor>
    <xdr:from>
      <xdr:col>0</xdr:col>
      <xdr:colOff>45223</xdr:colOff>
      <xdr:row>78</xdr:row>
      <xdr:rowOff>52098</xdr:rowOff>
    </xdr:from>
    <xdr:to>
      <xdr:col>3</xdr:col>
      <xdr:colOff>21688</xdr:colOff>
      <xdr:row>107</xdr:row>
      <xdr:rowOff>5715</xdr:rowOff>
    </xdr:to>
    <xdr:pic>
      <xdr:nvPicPr>
        <xdr:cNvPr id="17" name="Picture 1">
          <a:extLst>
            <a:ext uri="{FF2B5EF4-FFF2-40B4-BE49-F238E27FC236}">
              <a16:creationId xmlns:a16="http://schemas.microsoft.com/office/drawing/2014/main" id="{89E0B566-76BC-4D29-AD36-7E3EDBDBEC13}"/>
            </a:ext>
          </a:extLst>
        </xdr:cNvPr>
        <xdr:cNvPicPr>
          <a:picLocks noChangeAspect="1"/>
        </xdr:cNvPicPr>
      </xdr:nvPicPr>
      <xdr:blipFill>
        <a:blip xmlns:r="http://schemas.openxmlformats.org/officeDocument/2006/relationships" r:embed="rId3"/>
        <a:stretch>
          <a:fillRect/>
        </a:stretch>
      </xdr:blipFill>
      <xdr:spPr>
        <a:xfrm>
          <a:off x="45223" y="15623402"/>
          <a:ext cx="3248095" cy="4997726"/>
        </a:xfrm>
        <a:prstGeom prst="rect">
          <a:avLst/>
        </a:prstGeom>
      </xdr:spPr>
    </xdr:pic>
    <xdr:clientData/>
  </xdr:twoCellAnchor>
  <xdr:twoCellAnchor>
    <xdr:from>
      <xdr:col>5</xdr:col>
      <xdr:colOff>853732</xdr:colOff>
      <xdr:row>55</xdr:row>
      <xdr:rowOff>242719</xdr:rowOff>
    </xdr:from>
    <xdr:to>
      <xdr:col>11</xdr:col>
      <xdr:colOff>478964</xdr:colOff>
      <xdr:row>68</xdr:row>
      <xdr:rowOff>30030</xdr:rowOff>
    </xdr:to>
    <xdr:pic>
      <xdr:nvPicPr>
        <xdr:cNvPr id="18" name="Picture 17">
          <a:extLst>
            <a:ext uri="{FF2B5EF4-FFF2-40B4-BE49-F238E27FC236}">
              <a16:creationId xmlns:a16="http://schemas.microsoft.com/office/drawing/2014/main" id="{CE11BA7D-1C13-4799-B19E-57B11FD12712}"/>
            </a:ext>
          </a:extLst>
        </xdr:cNvPr>
        <xdr:cNvPicPr>
          <a:picLocks noChangeAspect="1"/>
        </xdr:cNvPicPr>
      </xdr:nvPicPr>
      <xdr:blipFill>
        <a:blip xmlns:r="http://schemas.openxmlformats.org/officeDocument/2006/relationships" r:embed="rId4"/>
        <a:stretch>
          <a:fillRect/>
        </a:stretch>
      </xdr:blipFill>
      <xdr:spPr>
        <a:xfrm>
          <a:off x="8070320" y="12737278"/>
          <a:ext cx="6505644" cy="2140546"/>
        </a:xfrm>
        <a:prstGeom prst="rect">
          <a:avLst/>
        </a:prstGeom>
      </xdr:spPr>
    </xdr:pic>
    <xdr:clientData/>
  </xdr:twoCellAnchor>
  <xdr:twoCellAnchor>
    <xdr:from>
      <xdr:col>7</xdr:col>
      <xdr:colOff>194062</xdr:colOff>
      <xdr:row>79</xdr:row>
      <xdr:rowOff>163525</xdr:rowOff>
    </xdr:from>
    <xdr:to>
      <xdr:col>10</xdr:col>
      <xdr:colOff>436929</xdr:colOff>
      <xdr:row>106</xdr:row>
      <xdr:rowOff>97145</xdr:rowOff>
    </xdr:to>
    <xdr:pic>
      <xdr:nvPicPr>
        <xdr:cNvPr id="19" name="Picture 18">
          <a:extLst>
            <a:ext uri="{FF2B5EF4-FFF2-40B4-BE49-F238E27FC236}">
              <a16:creationId xmlns:a16="http://schemas.microsoft.com/office/drawing/2014/main" id="{835E49ED-8B20-427D-88D9-FB78EEA9C32E}"/>
            </a:ext>
          </a:extLst>
        </xdr:cNvPr>
        <xdr:cNvPicPr>
          <a:picLocks noChangeAspect="1"/>
        </xdr:cNvPicPr>
      </xdr:nvPicPr>
      <xdr:blipFill>
        <a:blip xmlns:r="http://schemas.openxmlformats.org/officeDocument/2006/relationships" r:embed="rId5"/>
        <a:stretch>
          <a:fillRect/>
        </a:stretch>
      </xdr:blipFill>
      <xdr:spPr>
        <a:xfrm>
          <a:off x="9785323" y="15908764"/>
          <a:ext cx="4145218" cy="4633669"/>
        </a:xfrm>
        <a:prstGeom prst="rect">
          <a:avLst/>
        </a:prstGeom>
      </xdr:spPr>
    </xdr:pic>
    <xdr:clientData/>
  </xdr:twoCellAnchor>
  <xdr:twoCellAnchor>
    <xdr:from>
      <xdr:col>10</xdr:col>
      <xdr:colOff>124147</xdr:colOff>
      <xdr:row>99</xdr:row>
      <xdr:rowOff>102996</xdr:rowOff>
    </xdr:from>
    <xdr:to>
      <xdr:col>20</xdr:col>
      <xdr:colOff>432011</xdr:colOff>
      <xdr:row>108</xdr:row>
      <xdr:rowOff>97043</xdr:rowOff>
    </xdr:to>
    <xdr:pic>
      <xdr:nvPicPr>
        <xdr:cNvPr id="20" name="Picture 19">
          <a:extLst>
            <a:ext uri="{FF2B5EF4-FFF2-40B4-BE49-F238E27FC236}">
              <a16:creationId xmlns:a16="http://schemas.microsoft.com/office/drawing/2014/main" id="{B33520E0-C962-432D-AF78-C5BAA398C1BF}"/>
            </a:ext>
          </a:extLst>
        </xdr:cNvPr>
        <xdr:cNvPicPr>
          <a:picLocks noChangeAspect="1"/>
        </xdr:cNvPicPr>
      </xdr:nvPicPr>
      <xdr:blipFill>
        <a:blip xmlns:r="http://schemas.openxmlformats.org/officeDocument/2006/relationships" r:embed="rId6"/>
        <a:stretch>
          <a:fillRect/>
        </a:stretch>
      </xdr:blipFill>
      <xdr:spPr>
        <a:xfrm>
          <a:off x="13739294" y="19847761"/>
          <a:ext cx="5204835" cy="1506841"/>
        </a:xfrm>
        <a:prstGeom prst="rect">
          <a:avLst/>
        </a:prstGeom>
      </xdr:spPr>
    </xdr:pic>
    <xdr:clientData/>
  </xdr:twoCellAnchor>
  <xdr:twoCellAnchor>
    <xdr:from>
      <xdr:col>10</xdr:col>
      <xdr:colOff>193679</xdr:colOff>
      <xdr:row>79</xdr:row>
      <xdr:rowOff>38680</xdr:rowOff>
    </xdr:from>
    <xdr:to>
      <xdr:col>20</xdr:col>
      <xdr:colOff>123263</xdr:colOff>
      <xdr:row>97</xdr:row>
      <xdr:rowOff>118204</xdr:rowOff>
    </xdr:to>
    <xdr:pic>
      <xdr:nvPicPr>
        <xdr:cNvPr id="21" name="Picture 20">
          <a:extLst>
            <a:ext uri="{FF2B5EF4-FFF2-40B4-BE49-F238E27FC236}">
              <a16:creationId xmlns:a16="http://schemas.microsoft.com/office/drawing/2014/main" id="{A9C6C0A8-92D2-423D-B84F-29A3AA1A3508}"/>
            </a:ext>
          </a:extLst>
        </xdr:cNvPr>
        <xdr:cNvPicPr>
          <a:picLocks noChangeAspect="1"/>
        </xdr:cNvPicPr>
      </xdr:nvPicPr>
      <xdr:blipFill>
        <a:blip xmlns:r="http://schemas.openxmlformats.org/officeDocument/2006/relationships" r:embed="rId7"/>
        <a:stretch>
          <a:fillRect/>
        </a:stretch>
      </xdr:blipFill>
      <xdr:spPr>
        <a:xfrm>
          <a:off x="13808826" y="16421680"/>
          <a:ext cx="4826555" cy="3105112"/>
        </a:xfrm>
        <a:prstGeom prst="rect">
          <a:avLst/>
        </a:prstGeom>
      </xdr:spPr>
    </xdr:pic>
    <xdr:clientData/>
  </xdr:twoCellAnchor>
  <xdr:twoCellAnchor>
    <xdr:from>
      <xdr:col>0</xdr:col>
      <xdr:colOff>282271</xdr:colOff>
      <xdr:row>71</xdr:row>
      <xdr:rowOff>7620</xdr:rowOff>
    </xdr:from>
    <xdr:to>
      <xdr:col>3</xdr:col>
      <xdr:colOff>1274196</xdr:colOff>
      <xdr:row>78</xdr:row>
      <xdr:rowOff>54076</xdr:rowOff>
    </xdr:to>
    <xdr:pic>
      <xdr:nvPicPr>
        <xdr:cNvPr id="22" name="Picture 21">
          <a:extLst>
            <a:ext uri="{FF2B5EF4-FFF2-40B4-BE49-F238E27FC236}">
              <a16:creationId xmlns:a16="http://schemas.microsoft.com/office/drawing/2014/main" id="{6599AB33-3A3C-4631-C1E4-437FB4C560C4}"/>
            </a:ext>
          </a:extLst>
        </xdr:cNvPr>
        <xdr:cNvPicPr>
          <a:picLocks noChangeAspect="1"/>
        </xdr:cNvPicPr>
      </xdr:nvPicPr>
      <xdr:blipFill>
        <a:blip xmlns:r="http://schemas.openxmlformats.org/officeDocument/2006/relationships" r:embed="rId8"/>
        <a:stretch>
          <a:fillRect/>
        </a:stretch>
      </xdr:blipFill>
      <xdr:spPr>
        <a:xfrm>
          <a:off x="282271" y="14170881"/>
          <a:ext cx="4372555" cy="1452594"/>
        </a:xfrm>
        <a:prstGeom prst="rect">
          <a:avLst/>
        </a:prstGeom>
      </xdr:spPr>
    </xdr:pic>
    <xdr:clientData/>
  </xdr:twoCellAnchor>
  <xdr:twoCellAnchor>
    <xdr:from>
      <xdr:col>7</xdr:col>
      <xdr:colOff>298836</xdr:colOff>
      <xdr:row>70</xdr:row>
      <xdr:rowOff>135096</xdr:rowOff>
    </xdr:from>
    <xdr:to>
      <xdr:col>13</xdr:col>
      <xdr:colOff>397944</xdr:colOff>
      <xdr:row>77</xdr:row>
      <xdr:rowOff>157210</xdr:rowOff>
    </xdr:to>
    <xdr:pic>
      <xdr:nvPicPr>
        <xdr:cNvPr id="23" name="Picture 22">
          <a:extLst>
            <a:ext uri="{FF2B5EF4-FFF2-40B4-BE49-F238E27FC236}">
              <a16:creationId xmlns:a16="http://schemas.microsoft.com/office/drawing/2014/main" id="{D20CA670-59FC-E7D2-DB58-9403F530095C}"/>
            </a:ext>
          </a:extLst>
        </xdr:cNvPr>
        <xdr:cNvPicPr>
          <a:picLocks noChangeAspect="1"/>
        </xdr:cNvPicPr>
      </xdr:nvPicPr>
      <xdr:blipFill>
        <a:blip xmlns:r="http://schemas.openxmlformats.org/officeDocument/2006/relationships" r:embed="rId9"/>
        <a:stretch>
          <a:fillRect/>
        </a:stretch>
      </xdr:blipFill>
      <xdr:spPr>
        <a:xfrm>
          <a:off x="9890097" y="14124422"/>
          <a:ext cx="5461766" cy="1424443"/>
        </a:xfrm>
        <a:prstGeom prst="rect">
          <a:avLst/>
        </a:prstGeom>
      </xdr:spPr>
    </xdr:pic>
    <xdr:clientData/>
  </xdr:twoCellAnchor>
  <xdr:twoCellAnchor>
    <xdr:from>
      <xdr:col>12</xdr:col>
      <xdr:colOff>125170</xdr:colOff>
      <xdr:row>57</xdr:row>
      <xdr:rowOff>126338</xdr:rowOff>
    </xdr:from>
    <xdr:to>
      <xdr:col>25</xdr:col>
      <xdr:colOff>382905</xdr:colOff>
      <xdr:row>68</xdr:row>
      <xdr:rowOff>46168</xdr:rowOff>
    </xdr:to>
    <xdr:pic>
      <xdr:nvPicPr>
        <xdr:cNvPr id="24" name="Picture 23">
          <a:extLst>
            <a:ext uri="{FF2B5EF4-FFF2-40B4-BE49-F238E27FC236}">
              <a16:creationId xmlns:a16="http://schemas.microsoft.com/office/drawing/2014/main" id="{A120E7DE-A329-1507-668D-26780BCB396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4704023" y="12867426"/>
          <a:ext cx="6801970" cy="1770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24</xdr:col>
      <xdr:colOff>408017</xdr:colOff>
      <xdr:row>72</xdr:row>
      <xdr:rowOff>74035</xdr:rowOff>
    </xdr:from>
    <xdr:to>
      <xdr:col>32</xdr:col>
      <xdr:colOff>211229</xdr:colOff>
      <xdr:row>95</xdr:row>
      <xdr:rowOff>156883</xdr:rowOff>
    </xdr:to>
    <xdr:pic>
      <xdr:nvPicPr>
        <xdr:cNvPr id="25" name="Picture 24">
          <a:extLst>
            <a:ext uri="{FF2B5EF4-FFF2-40B4-BE49-F238E27FC236}">
              <a16:creationId xmlns:a16="http://schemas.microsoft.com/office/drawing/2014/main" id="{85E44CAD-0AF9-ECCE-4C27-BE84AABF8FA5}"/>
            </a:ext>
          </a:extLst>
        </xdr:cNvPr>
        <xdr:cNvPicPr>
          <a:picLocks noChangeAspect="1"/>
        </xdr:cNvPicPr>
      </xdr:nvPicPr>
      <xdr:blipFill>
        <a:blip xmlns:r="http://schemas.openxmlformats.org/officeDocument/2006/relationships" r:embed="rId11"/>
        <a:stretch>
          <a:fillRect/>
        </a:stretch>
      </xdr:blipFill>
      <xdr:spPr>
        <a:xfrm>
          <a:off x="20892370" y="15706241"/>
          <a:ext cx="4375212" cy="4139377"/>
        </a:xfrm>
        <a:prstGeom prst="rect">
          <a:avLst/>
        </a:prstGeom>
      </xdr:spPr>
    </xdr:pic>
    <xdr:clientData/>
  </xdr:twoCellAnchor>
  <xdr:twoCellAnchor>
    <xdr:from>
      <xdr:col>0</xdr:col>
      <xdr:colOff>66675</xdr:colOff>
      <xdr:row>114</xdr:row>
      <xdr:rowOff>142875</xdr:rowOff>
    </xdr:from>
    <xdr:to>
      <xdr:col>4</xdr:col>
      <xdr:colOff>342900</xdr:colOff>
      <xdr:row>127</xdr:row>
      <xdr:rowOff>36196</xdr:rowOff>
    </xdr:to>
    <xdr:pic>
      <xdr:nvPicPr>
        <xdr:cNvPr id="2" name="Picture 1">
          <a:extLst>
            <a:ext uri="{FF2B5EF4-FFF2-40B4-BE49-F238E27FC236}">
              <a16:creationId xmlns:a16="http://schemas.microsoft.com/office/drawing/2014/main" id="{3A7D6841-93D5-82D8-E0E8-A41012307F36}"/>
            </a:ext>
            <a:ext uri="{147F2762-F138-4A5C-976F-8EAC2B608ADB}">
              <a16:predDERef xmlns:a16="http://schemas.microsoft.com/office/drawing/2014/main" pred="{85E44CAD-0AF9-ECCE-4C27-BE84AABF8FA5}"/>
            </a:ext>
          </a:extLst>
        </xdr:cNvPr>
        <xdr:cNvPicPr>
          <a:picLocks noChangeAspect="1"/>
        </xdr:cNvPicPr>
      </xdr:nvPicPr>
      <xdr:blipFill>
        <a:blip xmlns:r="http://schemas.openxmlformats.org/officeDocument/2006/relationships" r:embed="rId12"/>
        <a:stretch>
          <a:fillRect/>
        </a:stretch>
      </xdr:blipFill>
      <xdr:spPr>
        <a:xfrm>
          <a:off x="66675" y="10696575"/>
          <a:ext cx="6410325" cy="2124075"/>
        </a:xfrm>
        <a:prstGeom prst="rect">
          <a:avLst/>
        </a:prstGeom>
      </xdr:spPr>
    </xdr:pic>
    <xdr:clientData/>
  </xdr:twoCellAnchor>
  <xdr:twoCellAnchor>
    <xdr:from>
      <xdr:col>0</xdr:col>
      <xdr:colOff>495300</xdr:colOff>
      <xdr:row>129</xdr:row>
      <xdr:rowOff>95250</xdr:rowOff>
    </xdr:from>
    <xdr:to>
      <xdr:col>3</xdr:col>
      <xdr:colOff>1771650</xdr:colOff>
      <xdr:row>140</xdr:row>
      <xdr:rowOff>15241</xdr:rowOff>
    </xdr:to>
    <xdr:pic>
      <xdr:nvPicPr>
        <xdr:cNvPr id="4" name="Picture 3">
          <a:extLst>
            <a:ext uri="{FF2B5EF4-FFF2-40B4-BE49-F238E27FC236}">
              <a16:creationId xmlns:a16="http://schemas.microsoft.com/office/drawing/2014/main" id="{21A22B50-DF50-A018-79F1-2C1C0B0B8997}"/>
            </a:ext>
            <a:ext uri="{147F2762-F138-4A5C-976F-8EAC2B608ADB}">
              <a16:predDERef xmlns:a16="http://schemas.microsoft.com/office/drawing/2014/main" pred="{9F1D6A3E-E334-A7B9-4FBF-4B96E5966A7E}"/>
            </a:ext>
          </a:extLst>
        </xdr:cNvPr>
        <xdr:cNvPicPr>
          <a:picLocks noChangeAspect="1"/>
        </xdr:cNvPicPr>
      </xdr:nvPicPr>
      <xdr:blipFill>
        <a:blip xmlns:r="http://schemas.openxmlformats.org/officeDocument/2006/relationships" r:embed="rId13"/>
        <a:stretch>
          <a:fillRect/>
        </a:stretch>
      </xdr:blipFill>
      <xdr:spPr>
        <a:xfrm>
          <a:off x="495300" y="13220700"/>
          <a:ext cx="4572000" cy="1800225"/>
        </a:xfrm>
        <a:prstGeom prst="rect">
          <a:avLst/>
        </a:prstGeom>
      </xdr:spPr>
    </xdr:pic>
    <xdr:clientData/>
  </xdr:twoCellAnchor>
  <xdr:twoCellAnchor editAs="oneCell">
    <xdr:from>
      <xdr:col>28</xdr:col>
      <xdr:colOff>41745</xdr:colOff>
      <xdr:row>39</xdr:row>
      <xdr:rowOff>463</xdr:rowOff>
    </xdr:from>
    <xdr:to>
      <xdr:col>29</xdr:col>
      <xdr:colOff>2274069</xdr:colOff>
      <xdr:row>147</xdr:row>
      <xdr:rowOff>121387</xdr:rowOff>
    </xdr:to>
    <xdr:pic>
      <xdr:nvPicPr>
        <xdr:cNvPr id="3" name="Picture 2">
          <a:extLst>
            <a:ext uri="{FF2B5EF4-FFF2-40B4-BE49-F238E27FC236}">
              <a16:creationId xmlns:a16="http://schemas.microsoft.com/office/drawing/2014/main" id="{D5D52684-C9FA-7139-E6D9-096F032A30C4}"/>
            </a:ext>
            <a:ext uri="{147F2762-F138-4A5C-976F-8EAC2B608ADB}">
              <a16:predDERef xmlns:a16="http://schemas.microsoft.com/office/drawing/2014/main" pred="{21A22B50-DF50-A018-79F1-2C1C0B0B8997}"/>
            </a:ext>
          </a:extLst>
        </xdr:cNvPr>
        <xdr:cNvPicPr>
          <a:picLocks noChangeAspect="1"/>
        </xdr:cNvPicPr>
      </xdr:nvPicPr>
      <xdr:blipFill>
        <a:blip xmlns:r="http://schemas.openxmlformats.org/officeDocument/2006/relationships" r:embed="rId14"/>
        <a:stretch>
          <a:fillRect/>
        </a:stretch>
      </xdr:blipFill>
      <xdr:spPr>
        <a:xfrm>
          <a:off x="23498093" y="10362006"/>
          <a:ext cx="4617715" cy="213359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67</xdr:row>
      <xdr:rowOff>0</xdr:rowOff>
    </xdr:from>
    <xdr:to>
      <xdr:col>2</xdr:col>
      <xdr:colOff>1047750</xdr:colOff>
      <xdr:row>79</xdr:row>
      <xdr:rowOff>129541</xdr:rowOff>
    </xdr:to>
    <xdr:pic>
      <xdr:nvPicPr>
        <xdr:cNvPr id="2" name="Picture 1">
          <a:extLst>
            <a:ext uri="{FF2B5EF4-FFF2-40B4-BE49-F238E27FC236}">
              <a16:creationId xmlns:a16="http://schemas.microsoft.com/office/drawing/2014/main" id="{8E362850-7647-9212-4B9E-BCDC1293846E}"/>
            </a:ext>
          </a:extLst>
        </xdr:cNvPr>
        <xdr:cNvPicPr>
          <a:picLocks noChangeAspect="1"/>
        </xdr:cNvPicPr>
      </xdr:nvPicPr>
      <xdr:blipFill>
        <a:blip xmlns:r="http://schemas.openxmlformats.org/officeDocument/2006/relationships" r:embed="rId1"/>
        <a:stretch>
          <a:fillRect/>
        </a:stretch>
      </xdr:blipFill>
      <xdr:spPr>
        <a:xfrm>
          <a:off x="0" y="18135600"/>
          <a:ext cx="4572000" cy="2066925"/>
        </a:xfrm>
        <a:prstGeom prst="rect">
          <a:avLst/>
        </a:prstGeom>
      </xdr:spPr>
    </xdr:pic>
    <xdr:clientData/>
  </xdr:twoCellAnchor>
  <xdr:twoCellAnchor>
    <xdr:from>
      <xdr:col>2</xdr:col>
      <xdr:colOff>1219200</xdr:colOff>
      <xdr:row>68</xdr:row>
      <xdr:rowOff>85725</xdr:rowOff>
    </xdr:from>
    <xdr:to>
      <xdr:col>4</xdr:col>
      <xdr:colOff>1655445</xdr:colOff>
      <xdr:row>76</xdr:row>
      <xdr:rowOff>114300</xdr:rowOff>
    </xdr:to>
    <xdr:pic>
      <xdr:nvPicPr>
        <xdr:cNvPr id="3" name="Picture 2">
          <a:extLst>
            <a:ext uri="{FF2B5EF4-FFF2-40B4-BE49-F238E27FC236}">
              <a16:creationId xmlns:a16="http://schemas.microsoft.com/office/drawing/2014/main" id="{F3F344AD-A70D-20B5-92BA-D123F672A2A6}"/>
            </a:ext>
            <a:ext uri="{147F2762-F138-4A5C-976F-8EAC2B608ADB}">
              <a16:predDERef xmlns:a16="http://schemas.microsoft.com/office/drawing/2014/main" pred="{8E362850-7647-9212-4B9E-BCDC1293846E}"/>
            </a:ext>
          </a:extLst>
        </xdr:cNvPr>
        <xdr:cNvPicPr>
          <a:picLocks noChangeAspect="1"/>
        </xdr:cNvPicPr>
      </xdr:nvPicPr>
      <xdr:blipFill>
        <a:blip xmlns:r="http://schemas.openxmlformats.org/officeDocument/2006/relationships" r:embed="rId2"/>
        <a:stretch>
          <a:fillRect/>
        </a:stretch>
      </xdr:blipFill>
      <xdr:spPr>
        <a:xfrm>
          <a:off x="4743450" y="18383250"/>
          <a:ext cx="4572000" cy="1323975"/>
        </a:xfrm>
        <a:prstGeom prst="rect">
          <a:avLst/>
        </a:prstGeom>
      </xdr:spPr>
    </xdr:pic>
    <xdr:clientData/>
  </xdr:twoCellAnchor>
  <xdr:twoCellAnchor>
    <xdr:from>
      <xdr:col>4</xdr:col>
      <xdr:colOff>1790700</xdr:colOff>
      <xdr:row>68</xdr:row>
      <xdr:rowOff>85725</xdr:rowOff>
    </xdr:from>
    <xdr:to>
      <xdr:col>6</xdr:col>
      <xdr:colOff>1920240</xdr:colOff>
      <xdr:row>82</xdr:row>
      <xdr:rowOff>114300</xdr:rowOff>
    </xdr:to>
    <xdr:pic>
      <xdr:nvPicPr>
        <xdr:cNvPr id="4" name="Picture 3">
          <a:extLst>
            <a:ext uri="{FF2B5EF4-FFF2-40B4-BE49-F238E27FC236}">
              <a16:creationId xmlns:a16="http://schemas.microsoft.com/office/drawing/2014/main" id="{1F6E87BD-3925-4461-C1BD-474517B404AA}"/>
            </a:ext>
            <a:ext uri="{147F2762-F138-4A5C-976F-8EAC2B608ADB}">
              <a16:predDERef xmlns:a16="http://schemas.microsoft.com/office/drawing/2014/main" pred="{F3F344AD-A70D-20B5-92BA-D123F672A2A6}"/>
            </a:ext>
          </a:extLst>
        </xdr:cNvPr>
        <xdr:cNvPicPr>
          <a:picLocks noChangeAspect="1"/>
        </xdr:cNvPicPr>
      </xdr:nvPicPr>
      <xdr:blipFill>
        <a:blip xmlns:r="http://schemas.openxmlformats.org/officeDocument/2006/relationships" r:embed="rId3"/>
        <a:stretch>
          <a:fillRect/>
        </a:stretch>
      </xdr:blipFill>
      <xdr:spPr>
        <a:xfrm>
          <a:off x="9439275" y="18383250"/>
          <a:ext cx="4572000" cy="22955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266700</xdr:colOff>
      <xdr:row>30</xdr:row>
      <xdr:rowOff>1</xdr:rowOff>
    </xdr:from>
    <xdr:to>
      <xdr:col>3</xdr:col>
      <xdr:colOff>64770</xdr:colOff>
      <xdr:row>58</xdr:row>
      <xdr:rowOff>145262</xdr:rowOff>
    </xdr:to>
    <xdr:pic>
      <xdr:nvPicPr>
        <xdr:cNvPr id="2" name="Picture 2">
          <a:extLst>
            <a:ext uri="{FF2B5EF4-FFF2-40B4-BE49-F238E27FC236}">
              <a16:creationId xmlns:a16="http://schemas.microsoft.com/office/drawing/2014/main" id="{39BB61C2-BF9C-45DD-BCE9-84BB3CB26B2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6700" y="8143876"/>
          <a:ext cx="4865370" cy="4945861"/>
        </a:xfrm>
        <a:prstGeom prst="rect">
          <a:avLst/>
        </a:prstGeom>
      </xdr:spPr>
    </xdr:pic>
    <xdr:clientData/>
  </xdr:twoCellAnchor>
  <xdr:twoCellAnchor>
    <xdr:from>
      <xdr:col>3</xdr:col>
      <xdr:colOff>971550</xdr:colOff>
      <xdr:row>33</xdr:row>
      <xdr:rowOff>8695</xdr:rowOff>
    </xdr:from>
    <xdr:to>
      <xdr:col>6</xdr:col>
      <xdr:colOff>782197</xdr:colOff>
      <xdr:row>55</xdr:row>
      <xdr:rowOff>97155</xdr:rowOff>
    </xdr:to>
    <xdr:pic>
      <xdr:nvPicPr>
        <xdr:cNvPr id="3" name="Picture 2">
          <a:extLst>
            <a:ext uri="{FF2B5EF4-FFF2-40B4-BE49-F238E27FC236}">
              <a16:creationId xmlns:a16="http://schemas.microsoft.com/office/drawing/2014/main" id="{A2DFA1A9-F767-28A7-CB14-19CD7D25C7C1}"/>
            </a:ext>
          </a:extLst>
        </xdr:cNvPr>
        <xdr:cNvPicPr>
          <a:picLocks noChangeAspect="1"/>
        </xdr:cNvPicPr>
      </xdr:nvPicPr>
      <xdr:blipFill>
        <a:blip xmlns:r="http://schemas.openxmlformats.org/officeDocument/2006/relationships" r:embed="rId2"/>
        <a:stretch>
          <a:fillRect/>
        </a:stretch>
      </xdr:blipFill>
      <xdr:spPr>
        <a:xfrm>
          <a:off x="6038850" y="8666920"/>
          <a:ext cx="5478022" cy="386036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xdr:colOff>
      <xdr:row>29</xdr:row>
      <xdr:rowOff>129540</xdr:rowOff>
    </xdr:from>
    <xdr:to>
      <xdr:col>2</xdr:col>
      <xdr:colOff>335487</xdr:colOff>
      <xdr:row>48</xdr:row>
      <xdr:rowOff>45719</xdr:rowOff>
    </xdr:to>
    <xdr:pic>
      <xdr:nvPicPr>
        <xdr:cNvPr id="12" name="Picture 2">
          <a:extLst>
            <a:ext uri="{FF2B5EF4-FFF2-40B4-BE49-F238E27FC236}">
              <a16:creationId xmlns:a16="http://schemas.microsoft.com/office/drawing/2014/main" id="{433BFD92-63F6-B73B-8731-E496DB63CCA8}"/>
            </a:ext>
          </a:extLst>
        </xdr:cNvPr>
        <xdr:cNvPicPr>
          <a:picLocks noChangeAspect="1"/>
        </xdr:cNvPicPr>
      </xdr:nvPicPr>
      <xdr:blipFill>
        <a:blip xmlns:r="http://schemas.openxmlformats.org/officeDocument/2006/relationships" r:embed="rId1"/>
        <a:stretch>
          <a:fillRect/>
        </a:stretch>
      </xdr:blipFill>
      <xdr:spPr>
        <a:xfrm>
          <a:off x="1" y="7147560"/>
          <a:ext cx="5265626" cy="310133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29</xdr:col>
      <xdr:colOff>268943</xdr:colOff>
      <xdr:row>6</xdr:row>
      <xdr:rowOff>22412</xdr:rowOff>
    </xdr:from>
    <xdr:to>
      <xdr:col>35</xdr:col>
      <xdr:colOff>620471</xdr:colOff>
      <xdr:row>8</xdr:row>
      <xdr:rowOff>429092</xdr:rowOff>
    </xdr:to>
    <xdr:graphicFrame macro="">
      <xdr:nvGraphicFramePr>
        <xdr:cNvPr id="2" name="Chart 5">
          <a:extLst>
            <a:ext uri="{FF2B5EF4-FFF2-40B4-BE49-F238E27FC236}">
              <a16:creationId xmlns:a16="http://schemas.microsoft.com/office/drawing/2014/main" id="{7F887ED4-EF83-451C-B1B7-74B19AE46174}"/>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29</xdr:col>
      <xdr:colOff>289560</xdr:colOff>
      <xdr:row>9</xdr:row>
      <xdr:rowOff>0</xdr:rowOff>
    </xdr:from>
    <xdr:to>
      <xdr:col>36</xdr:col>
      <xdr:colOff>0</xdr:colOff>
      <xdr:row>11</xdr:row>
      <xdr:rowOff>391886</xdr:rowOff>
    </xdr:to>
    <xdr:graphicFrame macro="">
      <xdr:nvGraphicFramePr>
        <xdr:cNvPr id="3" name="Chart 5">
          <a:extLst>
            <a:ext uri="{FF2B5EF4-FFF2-40B4-BE49-F238E27FC236}">
              <a16:creationId xmlns:a16="http://schemas.microsoft.com/office/drawing/2014/main" id="{562C7D60-D222-45AF-9013-A79B918CAA53}"/>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29</xdr:col>
      <xdr:colOff>289560</xdr:colOff>
      <xdr:row>59</xdr:row>
      <xdr:rowOff>0</xdr:rowOff>
    </xdr:from>
    <xdr:to>
      <xdr:col>36</xdr:col>
      <xdr:colOff>0</xdr:colOff>
      <xdr:row>61</xdr:row>
      <xdr:rowOff>391886</xdr:rowOff>
    </xdr:to>
    <xdr:graphicFrame macro="">
      <xdr:nvGraphicFramePr>
        <xdr:cNvPr id="5" name="Chart 5">
          <a:extLst>
            <a:ext uri="{FF2B5EF4-FFF2-40B4-BE49-F238E27FC236}">
              <a16:creationId xmlns:a16="http://schemas.microsoft.com/office/drawing/2014/main" id="{F8649B1F-C1B4-4ACF-B5FC-61526761CFE2}"/>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29</xdr:col>
      <xdr:colOff>289560</xdr:colOff>
      <xdr:row>18</xdr:row>
      <xdr:rowOff>0</xdr:rowOff>
    </xdr:from>
    <xdr:to>
      <xdr:col>36</xdr:col>
      <xdr:colOff>0</xdr:colOff>
      <xdr:row>20</xdr:row>
      <xdr:rowOff>391886</xdr:rowOff>
    </xdr:to>
    <xdr:graphicFrame macro="">
      <xdr:nvGraphicFramePr>
        <xdr:cNvPr id="6" name="Chart 5">
          <a:extLst>
            <a:ext uri="{FF2B5EF4-FFF2-40B4-BE49-F238E27FC236}">
              <a16:creationId xmlns:a16="http://schemas.microsoft.com/office/drawing/2014/main" id="{3829B692-84CA-4F11-A572-28334A0337A2}"/>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29</xdr:col>
      <xdr:colOff>289560</xdr:colOff>
      <xdr:row>12</xdr:row>
      <xdr:rowOff>0</xdr:rowOff>
    </xdr:from>
    <xdr:to>
      <xdr:col>36</xdr:col>
      <xdr:colOff>0</xdr:colOff>
      <xdr:row>14</xdr:row>
      <xdr:rowOff>391886</xdr:rowOff>
    </xdr:to>
    <xdr:graphicFrame macro="">
      <xdr:nvGraphicFramePr>
        <xdr:cNvPr id="7" name="Chart 5">
          <a:extLst>
            <a:ext uri="{FF2B5EF4-FFF2-40B4-BE49-F238E27FC236}">
              <a16:creationId xmlns:a16="http://schemas.microsoft.com/office/drawing/2014/main" id="{44729C12-D2A0-4BBC-B561-E4199A740F80}"/>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29</xdr:col>
      <xdr:colOff>289560</xdr:colOff>
      <xdr:row>15</xdr:row>
      <xdr:rowOff>0</xdr:rowOff>
    </xdr:from>
    <xdr:to>
      <xdr:col>36</xdr:col>
      <xdr:colOff>0</xdr:colOff>
      <xdr:row>17</xdr:row>
      <xdr:rowOff>391886</xdr:rowOff>
    </xdr:to>
    <xdr:graphicFrame macro="">
      <xdr:nvGraphicFramePr>
        <xdr:cNvPr id="8" name="Chart 7">
          <a:extLst>
            <a:ext uri="{FF2B5EF4-FFF2-40B4-BE49-F238E27FC236}">
              <a16:creationId xmlns:a16="http://schemas.microsoft.com/office/drawing/2014/main" id="{64306D0B-239D-466F-B383-D93A0723FCC6}"/>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29</xdr:col>
      <xdr:colOff>289560</xdr:colOff>
      <xdr:row>62</xdr:row>
      <xdr:rowOff>0</xdr:rowOff>
    </xdr:from>
    <xdr:to>
      <xdr:col>36</xdr:col>
      <xdr:colOff>0</xdr:colOff>
      <xdr:row>64</xdr:row>
      <xdr:rowOff>391886</xdr:rowOff>
    </xdr:to>
    <xdr:graphicFrame macro="">
      <xdr:nvGraphicFramePr>
        <xdr:cNvPr id="10" name="Chart 5">
          <a:extLst>
            <a:ext uri="{FF2B5EF4-FFF2-40B4-BE49-F238E27FC236}">
              <a16:creationId xmlns:a16="http://schemas.microsoft.com/office/drawing/2014/main" id="{C48C3029-B5F1-4B32-B1A3-D5B22C5C63C7}"/>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29</xdr:col>
      <xdr:colOff>277233</xdr:colOff>
      <xdr:row>67</xdr:row>
      <xdr:rowOff>468407</xdr:rowOff>
    </xdr:from>
    <xdr:to>
      <xdr:col>35</xdr:col>
      <xdr:colOff>609600</xdr:colOff>
      <xdr:row>70</xdr:row>
      <xdr:rowOff>376518</xdr:rowOff>
    </xdr:to>
    <xdr:graphicFrame macro="">
      <xdr:nvGraphicFramePr>
        <xdr:cNvPr id="11" name="Chart 5">
          <a:extLst>
            <a:ext uri="{FF2B5EF4-FFF2-40B4-BE49-F238E27FC236}">
              <a16:creationId xmlns:a16="http://schemas.microsoft.com/office/drawing/2014/main" id="{AD13ECEB-16E4-4AFF-8E89-282EEAAE886B}"/>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29</xdr:col>
      <xdr:colOff>278355</xdr:colOff>
      <xdr:row>65</xdr:row>
      <xdr:rowOff>75079</xdr:rowOff>
    </xdr:from>
    <xdr:to>
      <xdr:col>35</xdr:col>
      <xdr:colOff>618566</xdr:colOff>
      <xdr:row>67</xdr:row>
      <xdr:rowOff>349624</xdr:rowOff>
    </xdr:to>
    <xdr:graphicFrame macro="">
      <xdr:nvGraphicFramePr>
        <xdr:cNvPr id="12" name="Chart 5">
          <a:extLst>
            <a:ext uri="{FF2B5EF4-FFF2-40B4-BE49-F238E27FC236}">
              <a16:creationId xmlns:a16="http://schemas.microsoft.com/office/drawing/2014/main" id="{C5525377-4094-49D7-A558-50BC6FA52BBB}"/>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29</xdr:col>
      <xdr:colOff>281940</xdr:colOff>
      <xdr:row>56</xdr:row>
      <xdr:rowOff>0</xdr:rowOff>
    </xdr:from>
    <xdr:to>
      <xdr:col>35</xdr:col>
      <xdr:colOff>634365</xdr:colOff>
      <xdr:row>58</xdr:row>
      <xdr:rowOff>332831</xdr:rowOff>
    </xdr:to>
    <xdr:graphicFrame macro="">
      <xdr:nvGraphicFramePr>
        <xdr:cNvPr id="13" name="Chart 5">
          <a:extLst>
            <a:ext uri="{FF2B5EF4-FFF2-40B4-BE49-F238E27FC236}">
              <a16:creationId xmlns:a16="http://schemas.microsoft.com/office/drawing/2014/main" id="{5D80E14B-9B99-49BA-A8A8-57450D8BBB65}"/>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29</xdr:col>
      <xdr:colOff>278354</xdr:colOff>
      <xdr:row>71</xdr:row>
      <xdr:rowOff>57150</xdr:rowOff>
    </xdr:from>
    <xdr:to>
      <xdr:col>36</xdr:col>
      <xdr:colOff>0</xdr:colOff>
      <xdr:row>73</xdr:row>
      <xdr:rowOff>449036</xdr:rowOff>
    </xdr:to>
    <xdr:graphicFrame macro="">
      <xdr:nvGraphicFramePr>
        <xdr:cNvPr id="15" name="Chart 5">
          <a:extLst>
            <a:ext uri="{FF2B5EF4-FFF2-40B4-BE49-F238E27FC236}">
              <a16:creationId xmlns:a16="http://schemas.microsoft.com/office/drawing/2014/main" id="{4CF35C84-2205-461F-BE9D-DE7A96498FA3}"/>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29</xdr:col>
      <xdr:colOff>286870</xdr:colOff>
      <xdr:row>17</xdr:row>
      <xdr:rowOff>466165</xdr:rowOff>
    </xdr:from>
    <xdr:to>
      <xdr:col>35</xdr:col>
      <xdr:colOff>633804</xdr:colOff>
      <xdr:row>18</xdr:row>
      <xdr:rowOff>0</xdr:rowOff>
    </xdr:to>
    <xdr:graphicFrame macro="">
      <xdr:nvGraphicFramePr>
        <xdr:cNvPr id="27" name="Chart 5">
          <a:extLst>
            <a:ext uri="{FF2B5EF4-FFF2-40B4-BE49-F238E27FC236}">
              <a16:creationId xmlns:a16="http://schemas.microsoft.com/office/drawing/2014/main" id="{B2EDD7BD-9E89-4747-92BE-83BD9B7BB81C}"/>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29</xdr:col>
      <xdr:colOff>274656</xdr:colOff>
      <xdr:row>2</xdr:row>
      <xdr:rowOff>304800</xdr:rowOff>
    </xdr:from>
    <xdr:to>
      <xdr:col>35</xdr:col>
      <xdr:colOff>622374</xdr:colOff>
      <xdr:row>5</xdr:row>
      <xdr:rowOff>353098</xdr:rowOff>
    </xdr:to>
    <xdr:graphicFrame macro="">
      <xdr:nvGraphicFramePr>
        <xdr:cNvPr id="25" name="Chart 5">
          <a:extLst>
            <a:ext uri="{FF2B5EF4-FFF2-40B4-BE49-F238E27FC236}">
              <a16:creationId xmlns:a16="http://schemas.microsoft.com/office/drawing/2014/main" id="{BFB5E6CE-1DC8-43BD-AB76-7B507BEB194C}"/>
            </a:ext>
            <a:ext uri="{147F2762-F138-4A5C-976F-8EAC2B608ADB}">
              <a16:predDERef xmlns:a16="http://schemas.microsoft.com/office/drawing/2014/main" pred="{B2EDD7BD-9E89-4747-92BE-83BD9B7BB8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xdr:col>
      <xdr:colOff>1</xdr:colOff>
      <xdr:row>119</xdr:row>
      <xdr:rowOff>63141</xdr:rowOff>
    </xdr:from>
    <xdr:to>
      <xdr:col>12</xdr:col>
      <xdr:colOff>228005</xdr:colOff>
      <xdr:row>144</xdr:row>
      <xdr:rowOff>53341</xdr:rowOff>
    </xdr:to>
    <xdr:pic>
      <xdr:nvPicPr>
        <xdr:cNvPr id="4" name="Picture 3">
          <a:extLst>
            <a:ext uri="{FF2B5EF4-FFF2-40B4-BE49-F238E27FC236}">
              <a16:creationId xmlns:a16="http://schemas.microsoft.com/office/drawing/2014/main" id="{5E4966C6-34B5-0861-D772-B59B41591AAF}"/>
            </a:ext>
          </a:extLst>
        </xdr:cNvPr>
        <xdr:cNvPicPr>
          <a:picLocks noChangeAspect="1"/>
        </xdr:cNvPicPr>
      </xdr:nvPicPr>
      <xdr:blipFill>
        <a:blip xmlns:r="http://schemas.openxmlformats.org/officeDocument/2006/relationships" r:embed="rId14"/>
        <a:stretch>
          <a:fillRect/>
        </a:stretch>
      </xdr:blipFill>
      <xdr:spPr>
        <a:xfrm>
          <a:off x="1" y="20065641"/>
          <a:ext cx="7101244" cy="3609700"/>
        </a:xfrm>
        <a:prstGeom prst="rect">
          <a:avLst/>
        </a:prstGeom>
      </xdr:spPr>
    </xdr:pic>
    <xdr:clientData/>
  </xdr:twoCellAnchor>
  <xdr:twoCellAnchor>
    <xdr:from>
      <xdr:col>1</xdr:col>
      <xdr:colOff>0</xdr:colOff>
      <xdr:row>144</xdr:row>
      <xdr:rowOff>135656</xdr:rowOff>
    </xdr:from>
    <xdr:to>
      <xdr:col>12</xdr:col>
      <xdr:colOff>213422</xdr:colOff>
      <xdr:row>166</xdr:row>
      <xdr:rowOff>53340</xdr:rowOff>
    </xdr:to>
    <xdr:pic>
      <xdr:nvPicPr>
        <xdr:cNvPr id="16" name="Picture 15">
          <a:extLst>
            <a:ext uri="{FF2B5EF4-FFF2-40B4-BE49-F238E27FC236}">
              <a16:creationId xmlns:a16="http://schemas.microsoft.com/office/drawing/2014/main" id="{7D3FAD0A-782A-0988-39C7-02E4847A10F4}"/>
            </a:ext>
          </a:extLst>
        </xdr:cNvPr>
        <xdr:cNvPicPr>
          <a:picLocks noChangeAspect="1"/>
        </xdr:cNvPicPr>
      </xdr:nvPicPr>
      <xdr:blipFill>
        <a:blip xmlns:r="http://schemas.openxmlformats.org/officeDocument/2006/relationships" r:embed="rId15"/>
        <a:stretch>
          <a:fillRect/>
        </a:stretch>
      </xdr:blipFill>
      <xdr:spPr>
        <a:xfrm>
          <a:off x="0" y="23757656"/>
          <a:ext cx="7086662" cy="3102844"/>
        </a:xfrm>
        <a:prstGeom prst="rect">
          <a:avLst/>
        </a:prstGeom>
      </xdr:spPr>
    </xdr:pic>
    <xdr:clientData/>
  </xdr:twoCellAnchor>
  <xdr:twoCellAnchor>
    <xdr:from>
      <xdr:col>1</xdr:col>
      <xdr:colOff>0</xdr:colOff>
      <xdr:row>167</xdr:row>
      <xdr:rowOff>0</xdr:rowOff>
    </xdr:from>
    <xdr:to>
      <xdr:col>12</xdr:col>
      <xdr:colOff>212668</xdr:colOff>
      <xdr:row>188</xdr:row>
      <xdr:rowOff>109398</xdr:rowOff>
    </xdr:to>
    <xdr:pic>
      <xdr:nvPicPr>
        <xdr:cNvPr id="17" name="Picture 16">
          <a:extLst>
            <a:ext uri="{FF2B5EF4-FFF2-40B4-BE49-F238E27FC236}">
              <a16:creationId xmlns:a16="http://schemas.microsoft.com/office/drawing/2014/main" id="{A1BC29F2-F3CE-963B-57C7-168C5D12B90C}"/>
            </a:ext>
          </a:extLst>
        </xdr:cNvPr>
        <xdr:cNvPicPr>
          <a:picLocks noChangeAspect="1"/>
        </xdr:cNvPicPr>
      </xdr:nvPicPr>
      <xdr:blipFill>
        <a:blip xmlns:r="http://schemas.openxmlformats.org/officeDocument/2006/relationships" r:embed="rId16"/>
        <a:stretch>
          <a:fillRect/>
        </a:stretch>
      </xdr:blipFill>
      <xdr:spPr>
        <a:xfrm>
          <a:off x="0" y="26573018"/>
          <a:ext cx="7079673" cy="3018853"/>
        </a:xfrm>
        <a:prstGeom prst="rect">
          <a:avLst/>
        </a:prstGeom>
      </xdr:spPr>
    </xdr:pic>
    <xdr:clientData/>
  </xdr:twoCellAnchor>
  <xdr:twoCellAnchor>
    <xdr:from>
      <xdr:col>1</xdr:col>
      <xdr:colOff>0</xdr:colOff>
      <xdr:row>189</xdr:row>
      <xdr:rowOff>27710</xdr:rowOff>
    </xdr:from>
    <xdr:to>
      <xdr:col>12</xdr:col>
      <xdr:colOff>288298</xdr:colOff>
      <xdr:row>210</xdr:row>
      <xdr:rowOff>45373</xdr:rowOff>
    </xdr:to>
    <xdr:pic>
      <xdr:nvPicPr>
        <xdr:cNvPr id="18" name="Picture 17">
          <a:extLst>
            <a:ext uri="{FF2B5EF4-FFF2-40B4-BE49-F238E27FC236}">
              <a16:creationId xmlns:a16="http://schemas.microsoft.com/office/drawing/2014/main" id="{42782ADC-BA8C-A555-47A6-E35A40FB5843}"/>
            </a:ext>
          </a:extLst>
        </xdr:cNvPr>
        <xdr:cNvPicPr>
          <a:picLocks noChangeAspect="1"/>
        </xdr:cNvPicPr>
      </xdr:nvPicPr>
      <xdr:blipFill>
        <a:blip xmlns:r="http://schemas.openxmlformats.org/officeDocument/2006/relationships" r:embed="rId17"/>
        <a:stretch>
          <a:fillRect/>
        </a:stretch>
      </xdr:blipFill>
      <xdr:spPr>
        <a:xfrm>
          <a:off x="0" y="29648728"/>
          <a:ext cx="7147683" cy="2923308"/>
        </a:xfrm>
        <a:prstGeom prst="rect">
          <a:avLst/>
        </a:prstGeom>
      </xdr:spPr>
    </xdr:pic>
    <xdr:clientData/>
  </xdr:twoCellAnchor>
  <xdr:twoCellAnchor>
    <xdr:from>
      <xdr:col>29</xdr:col>
      <xdr:colOff>268943</xdr:colOff>
      <xdr:row>31</xdr:row>
      <xdr:rowOff>22412</xdr:rowOff>
    </xdr:from>
    <xdr:to>
      <xdr:col>35</xdr:col>
      <xdr:colOff>620471</xdr:colOff>
      <xdr:row>33</xdr:row>
      <xdr:rowOff>429092</xdr:rowOff>
    </xdr:to>
    <xdr:graphicFrame macro="">
      <xdr:nvGraphicFramePr>
        <xdr:cNvPr id="9" name="Chart 5">
          <a:extLst>
            <a:ext uri="{FF2B5EF4-FFF2-40B4-BE49-F238E27FC236}">
              <a16:creationId xmlns:a16="http://schemas.microsoft.com/office/drawing/2014/main" id="{62712EE5-632F-4805-9915-00C25A49A70E}"/>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29</xdr:col>
      <xdr:colOff>289560</xdr:colOff>
      <xdr:row>34</xdr:row>
      <xdr:rowOff>0</xdr:rowOff>
    </xdr:from>
    <xdr:to>
      <xdr:col>36</xdr:col>
      <xdr:colOff>0</xdr:colOff>
      <xdr:row>36</xdr:row>
      <xdr:rowOff>391886</xdr:rowOff>
    </xdr:to>
    <xdr:graphicFrame macro="">
      <xdr:nvGraphicFramePr>
        <xdr:cNvPr id="19" name="Chart 5">
          <a:extLst>
            <a:ext uri="{FF2B5EF4-FFF2-40B4-BE49-F238E27FC236}">
              <a16:creationId xmlns:a16="http://schemas.microsoft.com/office/drawing/2014/main" id="{A36FB85F-DE4E-4821-89B7-D9381F2D8926}"/>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29</xdr:col>
      <xdr:colOff>289560</xdr:colOff>
      <xdr:row>43</xdr:row>
      <xdr:rowOff>0</xdr:rowOff>
    </xdr:from>
    <xdr:to>
      <xdr:col>36</xdr:col>
      <xdr:colOff>0</xdr:colOff>
      <xdr:row>45</xdr:row>
      <xdr:rowOff>391886</xdr:rowOff>
    </xdr:to>
    <xdr:graphicFrame macro="">
      <xdr:nvGraphicFramePr>
        <xdr:cNvPr id="20" name="Chart 19">
          <a:extLst>
            <a:ext uri="{FF2B5EF4-FFF2-40B4-BE49-F238E27FC236}">
              <a16:creationId xmlns:a16="http://schemas.microsoft.com/office/drawing/2014/main" id="{9686F19A-C740-4978-8A43-E34D195DF11F}"/>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29</xdr:col>
      <xdr:colOff>289560</xdr:colOff>
      <xdr:row>37</xdr:row>
      <xdr:rowOff>0</xdr:rowOff>
    </xdr:from>
    <xdr:to>
      <xdr:col>36</xdr:col>
      <xdr:colOff>0</xdr:colOff>
      <xdr:row>39</xdr:row>
      <xdr:rowOff>391886</xdr:rowOff>
    </xdr:to>
    <xdr:graphicFrame macro="">
      <xdr:nvGraphicFramePr>
        <xdr:cNvPr id="21" name="Chart 5">
          <a:extLst>
            <a:ext uri="{FF2B5EF4-FFF2-40B4-BE49-F238E27FC236}">
              <a16:creationId xmlns:a16="http://schemas.microsoft.com/office/drawing/2014/main" id="{7D4C0FEC-53B0-4057-A5B9-E9716571D7C1}"/>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29</xdr:col>
      <xdr:colOff>289560</xdr:colOff>
      <xdr:row>40</xdr:row>
      <xdr:rowOff>0</xdr:rowOff>
    </xdr:from>
    <xdr:to>
      <xdr:col>36</xdr:col>
      <xdr:colOff>0</xdr:colOff>
      <xdr:row>42</xdr:row>
      <xdr:rowOff>391886</xdr:rowOff>
    </xdr:to>
    <xdr:graphicFrame macro="">
      <xdr:nvGraphicFramePr>
        <xdr:cNvPr id="22" name="Chart 21">
          <a:extLst>
            <a:ext uri="{FF2B5EF4-FFF2-40B4-BE49-F238E27FC236}">
              <a16:creationId xmlns:a16="http://schemas.microsoft.com/office/drawing/2014/main" id="{0DE24E6E-6547-49EA-B62C-0AB12440B68C}"/>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29</xdr:col>
      <xdr:colOff>286870</xdr:colOff>
      <xdr:row>42</xdr:row>
      <xdr:rowOff>466165</xdr:rowOff>
    </xdr:from>
    <xdr:to>
      <xdr:col>35</xdr:col>
      <xdr:colOff>633804</xdr:colOff>
      <xdr:row>43</xdr:row>
      <xdr:rowOff>0</xdr:rowOff>
    </xdr:to>
    <xdr:graphicFrame macro="">
      <xdr:nvGraphicFramePr>
        <xdr:cNvPr id="23" name="Chart 5">
          <a:extLst>
            <a:ext uri="{FF2B5EF4-FFF2-40B4-BE49-F238E27FC236}">
              <a16:creationId xmlns:a16="http://schemas.microsoft.com/office/drawing/2014/main" id="{C7FA7100-635D-470B-8B51-9B573D48DC03}"/>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29</xdr:col>
      <xdr:colOff>274656</xdr:colOff>
      <xdr:row>27</xdr:row>
      <xdr:rowOff>304800</xdr:rowOff>
    </xdr:from>
    <xdr:to>
      <xdr:col>35</xdr:col>
      <xdr:colOff>622374</xdr:colOff>
      <xdr:row>30</xdr:row>
      <xdr:rowOff>353098</xdr:rowOff>
    </xdr:to>
    <xdr:graphicFrame macro="">
      <xdr:nvGraphicFramePr>
        <xdr:cNvPr id="24" name="Chart 5">
          <a:extLst>
            <a:ext uri="{FF2B5EF4-FFF2-40B4-BE49-F238E27FC236}">
              <a16:creationId xmlns:a16="http://schemas.microsoft.com/office/drawing/2014/main" id="{9DD4CF8F-D556-4262-AD32-289BC70CA011}"/>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23</xdr:col>
      <xdr:colOff>0</xdr:colOff>
      <xdr:row>0</xdr:row>
      <xdr:rowOff>0</xdr:rowOff>
    </xdr:from>
    <xdr:to>
      <xdr:col>39</xdr:col>
      <xdr:colOff>323851</xdr:colOff>
      <xdr:row>16</xdr:row>
      <xdr:rowOff>220980</xdr:rowOff>
    </xdr:to>
    <xdr:graphicFrame macro="">
      <xdr:nvGraphicFramePr>
        <xdr:cNvPr id="3" name="Chart 2">
          <a:extLst>
            <a:ext uri="{FF2B5EF4-FFF2-40B4-BE49-F238E27FC236}">
              <a16:creationId xmlns:a16="http://schemas.microsoft.com/office/drawing/2014/main" id="{21A09C35-7D47-4DEC-BD73-91A0210C42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23</xdr:col>
      <xdr:colOff>0</xdr:colOff>
      <xdr:row>18</xdr:row>
      <xdr:rowOff>0</xdr:rowOff>
    </xdr:from>
    <xdr:to>
      <xdr:col>39</xdr:col>
      <xdr:colOff>380753</xdr:colOff>
      <xdr:row>44</xdr:row>
      <xdr:rowOff>156606</xdr:rowOff>
    </xdr:to>
    <xdr:graphicFrame macro="">
      <xdr:nvGraphicFramePr>
        <xdr:cNvPr id="4" name="Chart 3">
          <a:extLst>
            <a:ext uri="{FF2B5EF4-FFF2-40B4-BE49-F238E27FC236}">
              <a16:creationId xmlns:a16="http://schemas.microsoft.com/office/drawing/2014/main" id="{38181523-1E94-4B70-ADBA-1FE3943A47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0</xdr:colOff>
      <xdr:row>25</xdr:row>
      <xdr:rowOff>80594</xdr:rowOff>
    </xdr:from>
    <xdr:to>
      <xdr:col>10</xdr:col>
      <xdr:colOff>149678</xdr:colOff>
      <xdr:row>64</xdr:row>
      <xdr:rowOff>85046</xdr:rowOff>
    </xdr:to>
    <xdr:pic>
      <xdr:nvPicPr>
        <xdr:cNvPr id="2" name="Picture 1">
          <a:extLst>
            <a:ext uri="{FF2B5EF4-FFF2-40B4-BE49-F238E27FC236}">
              <a16:creationId xmlns:a16="http://schemas.microsoft.com/office/drawing/2014/main" id="{10AA589B-2B1F-F728-E7EA-3524FD6494FD}"/>
            </a:ext>
          </a:extLst>
        </xdr:cNvPr>
        <xdr:cNvPicPr>
          <a:picLocks noChangeAspect="1"/>
        </xdr:cNvPicPr>
      </xdr:nvPicPr>
      <xdr:blipFill>
        <a:blip xmlns:r="http://schemas.openxmlformats.org/officeDocument/2006/relationships" r:embed="rId3"/>
        <a:stretch>
          <a:fillRect/>
        </a:stretch>
      </xdr:blipFill>
      <xdr:spPr>
        <a:xfrm>
          <a:off x="802821" y="5904451"/>
          <a:ext cx="9525000" cy="6901369"/>
        </a:xfrm>
        <a:prstGeom prst="rect">
          <a:avLst/>
        </a:prstGeom>
      </xdr:spPr>
    </xdr:pic>
    <xdr:clientData/>
  </xdr:twoCellAnchor>
</xdr:wsDr>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govinfo.gov/content/pkg/FR-2009-03-23/pdf/FR-2009-03-23.pdf" TargetMode="External"/><Relationship Id="rId13" Type="http://schemas.openxmlformats.org/officeDocument/2006/relationships/hyperlink" Target="https://www.pnnl.gov/main/publications/external/technical_reports/PNNL-17056.pdf" TargetMode="External"/><Relationship Id="rId3" Type="http://schemas.openxmlformats.org/officeDocument/2006/relationships/hyperlink" Target="https://github.com/sound-data/DEER-Prototypes-EnergyPlus" TargetMode="External"/><Relationship Id="rId7" Type="http://schemas.openxmlformats.org/officeDocument/2006/relationships/hyperlink" Target="https://2050partners.sharepoint.com/:w:/r/sites/CalBEMCollaborativeEfforts/_layouts/15/Doc.aspx?sourcedoc=%7B3BEF8F74-7FAC-44F2-A70C-D76617660066%7D&amp;file=Infiltration_rate_report_14May2025-Short-Version.docx&amp;action=default&amp;mobileredirect=true" TargetMode="External"/><Relationship Id="rId12" Type="http://schemas.openxmlformats.org/officeDocument/2006/relationships/hyperlink" Target="https://efiling.energy.ca.gov/GetDocument.aspx?tn=265693&amp;DocumentContentId=102545" TargetMode="External"/><Relationship Id="rId2" Type="http://schemas.openxmlformats.org/officeDocument/2006/relationships/hyperlink" Target="https://www.energycodes.gov/prototype-building-models" TargetMode="External"/><Relationship Id="rId1" Type="http://schemas.openxmlformats.org/officeDocument/2006/relationships/hyperlink" Target="https://bees.noresco.com/software2022.html" TargetMode="External"/><Relationship Id="rId6" Type="http://schemas.openxmlformats.org/officeDocument/2006/relationships/hyperlink" Target="https://www.pnnl.gov/main/publications/external/technical_reports/PNNL-20405.pdf" TargetMode="External"/><Relationship Id="rId11" Type="http://schemas.openxmlformats.org/officeDocument/2006/relationships/hyperlink" Target="https://title24stakeholders.com/wp-content/uploads/2016/10/T24-2019-CASE-Study-Results-Report-Outdoor-Sources_Final_with-Attachments.pdf" TargetMode="External"/><Relationship Id="rId5" Type="http://schemas.openxmlformats.org/officeDocument/2006/relationships/hyperlink" Target="https://title24stakeholders.com/wp-content/uploads/2020/10/2022-T24-Final-CASE-Report_Reduce-Infiltration.pdf" TargetMode="External"/><Relationship Id="rId10" Type="http://schemas.openxmlformats.org/officeDocument/2006/relationships/hyperlink" Target="https://www.govinfo.gov/content/pkg/CFR-2013-title10-vol3/pdf/CFR-2013-title10-vol3-part431.pdf" TargetMode="External"/><Relationship Id="rId4" Type="http://schemas.openxmlformats.org/officeDocument/2006/relationships/hyperlink" Target="https://www.energy.ca.gov/publications/2022/2022-nonresidential-and-multifamily-alternative-calculation-method-reference" TargetMode="External"/><Relationship Id="rId9" Type="http://schemas.openxmlformats.org/officeDocument/2006/relationships/hyperlink" Target="https://www.govinfo.gov/content/pkg/CFR-2024-title10-vol3/pdf/CFR-2024-title10-vol3-part431-subpartF.pdf" TargetMode="External"/><Relationship Id="rId1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hyperlink" Target="https://2050partners.sharepoint.com/:w:/r/sites/CalBEMCollaborativeEfforts/Shared%20Documents/Working%20Group%201%20-%20Streamlined%20Process/D%20-%20Complexity%20of%20Compliance/Prototype%20Unification/Project%20Development/Phase%202%20(Collect%20Inputs)%20Development/NonRes-Vintage%20bins-Draft%20Report-30Nov2023-Final.docx?d=w8560be34ea9744e086bccf7767b0a3cf&amp;csf=1&amp;web=1&amp;e=tpxacv"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hyperlink" Target="https://2050partners.sharepoint.com/:w:/r/sites/CalBEMCollaborativeEfforts/_layouts/15/Doc.aspx?sourcedoc=%7B3BEF8F74-7FAC-44F2-A70C-D76617660066%7D&amp;file=Infiltration_rate_report_14May2025-Short-Version.docx&amp;action=default&amp;mobileredirect=true&amp;wdLOR=c37D90580-1DC7-4CAF-9995-F2723497E773" TargetMode="External"/><Relationship Id="rId2" Type="http://schemas.openxmlformats.org/officeDocument/2006/relationships/hyperlink" Target="https://title24stakeholders.com/wp-content/uploads/2020/10/2022-T24-Final-CASE-Report_Reduce-Infiltration.pdf" TargetMode="External"/><Relationship Id="rId1" Type="http://schemas.openxmlformats.org/officeDocument/2006/relationships/hyperlink" Target="https://title24stakeholders.com/wp-content/uploads/2020/10/2022-T24-Final-CASE-Report_Reduce-Infiltration.pdf" TargetMode="External"/><Relationship Id="rId5" Type="http://schemas.openxmlformats.org/officeDocument/2006/relationships/drawing" Target="../drawings/drawing4.xml"/><Relationship Id="rId4" Type="http://schemas.openxmlformats.org/officeDocument/2006/relationships/hyperlink" Target="https://www.pnnl.gov/main/publications/external/technical_reports/PNNL-17056.pdf"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hyperlink" Target="https://continentalfan.com/destratification-fan-application-guide/?utm"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hyperlink" Target="https://continentalfan.com/destratification-fan-application-guide/?u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65BDF-3C17-4869-B954-111AEEDC46EB}">
  <sheetPr codeName="Sheet4"/>
  <dimension ref="A1:E140"/>
  <sheetViews>
    <sheetView zoomScale="85" zoomScaleNormal="85" workbookViewId="0">
      <selection sqref="A1:C1"/>
    </sheetView>
  </sheetViews>
  <sheetFormatPr defaultColWidth="9.28515625" defaultRowHeight="12.75" x14ac:dyDescent="0.2"/>
  <cols>
    <col min="1" max="1" width="14.7109375" style="4" customWidth="1"/>
    <col min="2" max="2" width="96" style="4" customWidth="1"/>
    <col min="3" max="3" width="39" style="4" customWidth="1"/>
    <col min="4" max="4" width="9.28515625" style="4"/>
    <col min="5" max="5" width="21.7109375" style="4" customWidth="1"/>
    <col min="6" max="6" width="10.7109375" style="4" customWidth="1"/>
    <col min="7" max="7" width="9.7109375" style="4" customWidth="1"/>
    <col min="8" max="8" width="9.7109375" style="4" bestFit="1" customWidth="1"/>
    <col min="9" max="9" width="12.42578125" style="4" customWidth="1"/>
    <col min="10" max="10" width="9.28515625" style="4"/>
    <col min="11" max="11" width="12.5703125" style="4" customWidth="1"/>
    <col min="12" max="16384" width="9.28515625" style="4"/>
  </cols>
  <sheetData>
    <row r="1" spans="1:4" ht="20.45" customHeight="1" x14ac:dyDescent="0.2">
      <c r="A1" s="536" t="s">
        <v>0</v>
      </c>
      <c r="B1" s="536"/>
      <c r="C1" s="536"/>
    </row>
    <row r="2" spans="1:4" x14ac:dyDescent="0.2">
      <c r="A2" s="535" t="s">
        <v>1</v>
      </c>
      <c r="B2" s="4" t="s">
        <v>2</v>
      </c>
      <c r="C2" s="498"/>
    </row>
    <row r="3" spans="1:4" x14ac:dyDescent="0.2">
      <c r="A3" s="535"/>
      <c r="B3" s="4" t="s">
        <v>3</v>
      </c>
      <c r="C3" s="498"/>
    </row>
    <row r="4" spans="1:4" x14ac:dyDescent="0.2">
      <c r="A4" s="535"/>
      <c r="B4" s="4" t="s">
        <v>4</v>
      </c>
      <c r="C4" s="498"/>
    </row>
    <row r="5" spans="1:4" x14ac:dyDescent="0.2">
      <c r="A5" s="535"/>
      <c r="B5" s="4" t="s">
        <v>5</v>
      </c>
      <c r="C5" s="498"/>
    </row>
    <row r="6" spans="1:4" ht="15" x14ac:dyDescent="0.25">
      <c r="A6" s="535" t="s">
        <v>6</v>
      </c>
      <c r="B6" s="4" t="s">
        <v>7</v>
      </c>
      <c r="C6" s="376" t="s">
        <v>8</v>
      </c>
      <c r="D6" s="4" t="s">
        <v>9</v>
      </c>
    </row>
    <row r="7" spans="1:4" ht="15" x14ac:dyDescent="0.25">
      <c r="A7" s="535"/>
      <c r="B7" s="4" t="s">
        <v>10</v>
      </c>
      <c r="C7" s="376" t="s">
        <v>11</v>
      </c>
      <c r="D7" s="4" t="s">
        <v>9</v>
      </c>
    </row>
    <row r="8" spans="1:4" ht="15" x14ac:dyDescent="0.25">
      <c r="A8" s="535"/>
      <c r="B8" s="4" t="s">
        <v>12</v>
      </c>
      <c r="C8" s="376" t="s">
        <v>13</v>
      </c>
      <c r="D8" s="4" t="s">
        <v>9</v>
      </c>
    </row>
    <row r="9" spans="1:4" ht="15" x14ac:dyDescent="0.25">
      <c r="A9" s="535"/>
      <c r="C9" s="376"/>
      <c r="D9" s="4" t="s">
        <v>9</v>
      </c>
    </row>
    <row r="10" spans="1:4" x14ac:dyDescent="0.2">
      <c r="A10" s="535" t="s">
        <v>14</v>
      </c>
      <c r="B10" s="4" t="s">
        <v>15</v>
      </c>
      <c r="C10" s="498"/>
      <c r="D10" s="4" t="s">
        <v>9</v>
      </c>
    </row>
    <row r="11" spans="1:4" x14ac:dyDescent="0.2">
      <c r="A11" s="535"/>
      <c r="B11" s="4" t="s">
        <v>16</v>
      </c>
      <c r="C11" s="498"/>
      <c r="D11" s="4" t="s">
        <v>9</v>
      </c>
    </row>
    <row r="12" spans="1:4" ht="15" x14ac:dyDescent="0.25">
      <c r="A12" s="535"/>
      <c r="B12" s="4" t="s">
        <v>17</v>
      </c>
      <c r="C12" s="376" t="s">
        <v>18</v>
      </c>
      <c r="D12" s="4" t="s">
        <v>9</v>
      </c>
    </row>
    <row r="13" spans="1:4" ht="15" x14ac:dyDescent="0.25">
      <c r="A13" s="535"/>
      <c r="B13" s="4" t="s">
        <v>19</v>
      </c>
      <c r="C13" s="376" t="s">
        <v>20</v>
      </c>
      <c r="D13" s="4" t="s">
        <v>9</v>
      </c>
    </row>
    <row r="14" spans="1:4" ht="15" x14ac:dyDescent="0.25">
      <c r="A14" s="535"/>
      <c r="B14" s="4" t="s">
        <v>21</v>
      </c>
      <c r="C14" s="376" t="s">
        <v>22</v>
      </c>
      <c r="D14" s="4" t="s">
        <v>9</v>
      </c>
    </row>
    <row r="15" spans="1:4" x14ac:dyDescent="0.2">
      <c r="A15" s="535"/>
      <c r="C15" s="498"/>
      <c r="D15" s="4" t="s">
        <v>9</v>
      </c>
    </row>
    <row r="16" spans="1:4" ht="12.75" customHeight="1" x14ac:dyDescent="0.2">
      <c r="A16" s="535" t="s">
        <v>23</v>
      </c>
      <c r="B16" s="375" t="s">
        <v>24</v>
      </c>
      <c r="C16" s="375"/>
      <c r="D16" s="4" t="s">
        <v>9</v>
      </c>
    </row>
    <row r="17" spans="1:4" ht="14.45" customHeight="1" x14ac:dyDescent="0.25">
      <c r="A17" s="535"/>
      <c r="B17" s="375" t="s">
        <v>25</v>
      </c>
      <c r="C17" s="376" t="s">
        <v>26</v>
      </c>
      <c r="D17" s="4" t="s">
        <v>9</v>
      </c>
    </row>
    <row r="18" spans="1:4" ht="12.75" customHeight="1" x14ac:dyDescent="0.25">
      <c r="A18" s="535"/>
      <c r="B18" s="103" t="s">
        <v>27</v>
      </c>
      <c r="C18" s="376" t="s">
        <v>28</v>
      </c>
      <c r="D18" s="4" t="s">
        <v>9</v>
      </c>
    </row>
    <row r="19" spans="1:4" ht="12.75" customHeight="1" x14ac:dyDescent="0.25">
      <c r="A19" s="535"/>
      <c r="B19" s="4" t="s">
        <v>29</v>
      </c>
      <c r="C19" s="376" t="s">
        <v>30</v>
      </c>
      <c r="D19" s="4" t="s">
        <v>9</v>
      </c>
    </row>
    <row r="20" spans="1:4" ht="12.75" customHeight="1" x14ac:dyDescent="0.25">
      <c r="A20" s="535"/>
      <c r="B20" s="4" t="s">
        <v>31</v>
      </c>
      <c r="C20" s="376" t="s">
        <v>32</v>
      </c>
      <c r="D20" s="4" t="s">
        <v>9</v>
      </c>
    </row>
    <row r="21" spans="1:4" ht="12.75" customHeight="1" x14ac:dyDescent="0.25">
      <c r="A21" s="535"/>
      <c r="B21" s="4" t="s">
        <v>33</v>
      </c>
      <c r="C21" s="377" t="s">
        <v>34</v>
      </c>
      <c r="D21" s="4" t="s">
        <v>9</v>
      </c>
    </row>
    <row r="22" spans="1:4" ht="29.45" customHeight="1" x14ac:dyDescent="0.2">
      <c r="A22" s="535"/>
      <c r="B22" s="379" t="s">
        <v>35</v>
      </c>
      <c r="C22" s="378" t="s">
        <v>36</v>
      </c>
      <c r="D22" s="4" t="s">
        <v>9</v>
      </c>
    </row>
    <row r="23" spans="1:4" ht="24" customHeight="1" x14ac:dyDescent="0.2">
      <c r="A23" s="535"/>
      <c r="B23" s="9" t="s">
        <v>37</v>
      </c>
      <c r="C23" s="439" t="s">
        <v>38</v>
      </c>
    </row>
    <row r="24" spans="1:4" ht="12.75" customHeight="1" x14ac:dyDescent="0.2">
      <c r="A24" s="485"/>
      <c r="C24" s="439"/>
    </row>
    <row r="25" spans="1:4" x14ac:dyDescent="0.2">
      <c r="C25" s="498"/>
    </row>
    <row r="26" spans="1:4" ht="18.600000000000001" customHeight="1" x14ac:dyDescent="0.2">
      <c r="A26" s="536" t="s">
        <v>39</v>
      </c>
      <c r="B26" s="536"/>
      <c r="C26" s="536"/>
    </row>
    <row r="27" spans="1:4" x14ac:dyDescent="0.2">
      <c r="C27" s="498"/>
    </row>
    <row r="28" spans="1:4" x14ac:dyDescent="0.2">
      <c r="C28" s="498"/>
    </row>
    <row r="29" spans="1:4" x14ac:dyDescent="0.2">
      <c r="C29" s="498"/>
    </row>
    <row r="30" spans="1:4" x14ac:dyDescent="0.2">
      <c r="C30" s="498"/>
    </row>
    <row r="31" spans="1:4" x14ac:dyDescent="0.2">
      <c r="C31" s="498"/>
    </row>
    <row r="32" spans="1:4" x14ac:dyDescent="0.2">
      <c r="C32" s="498"/>
    </row>
    <row r="33" spans="1:5" x14ac:dyDescent="0.2">
      <c r="C33" s="498"/>
    </row>
    <row r="34" spans="1:5" x14ac:dyDescent="0.2">
      <c r="C34" s="498"/>
    </row>
    <row r="35" spans="1:5" x14ac:dyDescent="0.2">
      <c r="C35" s="498"/>
    </row>
    <row r="36" spans="1:5" x14ac:dyDescent="0.2">
      <c r="C36" s="498"/>
    </row>
    <row r="37" spans="1:5" x14ac:dyDescent="0.2">
      <c r="C37" s="498"/>
    </row>
    <row r="38" spans="1:5" x14ac:dyDescent="0.2">
      <c r="C38" s="498"/>
    </row>
    <row r="39" spans="1:5" ht="19.149999999999999" customHeight="1" x14ac:dyDescent="0.2">
      <c r="A39" s="536" t="s">
        <v>40</v>
      </c>
      <c r="B39" s="536"/>
      <c r="C39" s="536"/>
    </row>
    <row r="40" spans="1:5" ht="34.15" customHeight="1" x14ac:dyDescent="0.2">
      <c r="A40" s="6" t="s">
        <v>41</v>
      </c>
      <c r="B40" s="537" t="s">
        <v>42</v>
      </c>
      <c r="C40" s="537"/>
      <c r="E40" s="483"/>
    </row>
    <row r="41" spans="1:5" x14ac:dyDescent="0.2">
      <c r="A41" s="7"/>
      <c r="B41" s="533"/>
      <c r="C41" s="533"/>
      <c r="E41" s="483"/>
    </row>
    <row r="42" spans="1:5" x14ac:dyDescent="0.2">
      <c r="A42" s="7"/>
      <c r="B42" s="533"/>
      <c r="C42" s="533"/>
    </row>
    <row r="43" spans="1:5" ht="14.45" customHeight="1" x14ac:dyDescent="0.2">
      <c r="A43" s="7"/>
      <c r="B43" s="533" t="s">
        <v>43</v>
      </c>
      <c r="C43" s="533"/>
    </row>
    <row r="81" spans="1:3" hidden="1" x14ac:dyDescent="0.2">
      <c r="B81" s="534" t="s">
        <v>44</v>
      </c>
      <c r="C81" s="534"/>
    </row>
    <row r="82" spans="1:3" hidden="1" x14ac:dyDescent="0.2">
      <c r="A82" s="74" t="s">
        <v>45</v>
      </c>
      <c r="B82" s="83" t="s">
        <v>46</v>
      </c>
      <c r="C82" s="83" t="s">
        <v>47</v>
      </c>
    </row>
    <row r="83" spans="1:3" hidden="1" x14ac:dyDescent="0.2">
      <c r="A83" s="84">
        <v>1967</v>
      </c>
      <c r="B83" s="81">
        <v>5361.9</v>
      </c>
      <c r="C83" s="4">
        <v>152</v>
      </c>
    </row>
    <row r="84" spans="1:3" hidden="1" x14ac:dyDescent="0.2">
      <c r="A84" s="84">
        <v>1968</v>
      </c>
      <c r="B84" s="81">
        <v>8270.9999999999982</v>
      </c>
      <c r="C84" s="4">
        <v>452</v>
      </c>
    </row>
    <row r="85" spans="1:3" hidden="1" x14ac:dyDescent="0.2">
      <c r="A85" s="84">
        <v>1969</v>
      </c>
      <c r="B85" s="81">
        <v>13593.6</v>
      </c>
      <c r="C85" s="4">
        <v>655</v>
      </c>
    </row>
    <row r="86" spans="1:3" hidden="1" x14ac:dyDescent="0.2">
      <c r="A86" s="84">
        <v>1970</v>
      </c>
      <c r="B86" s="81">
        <v>14323.700000000006</v>
      </c>
      <c r="C86" s="4">
        <v>601</v>
      </c>
    </row>
    <row r="87" spans="1:3" hidden="1" x14ac:dyDescent="0.2">
      <c r="A87" s="84">
        <v>1971</v>
      </c>
      <c r="B87" s="81">
        <v>13719.800000000003</v>
      </c>
      <c r="C87" s="4">
        <v>592</v>
      </c>
    </row>
    <row r="88" spans="1:3" hidden="1" x14ac:dyDescent="0.2">
      <c r="A88" s="84">
        <v>1972</v>
      </c>
      <c r="B88" s="81">
        <v>16513.900000000001</v>
      </c>
      <c r="C88" s="4">
        <v>687</v>
      </c>
    </row>
    <row r="89" spans="1:3" hidden="1" x14ac:dyDescent="0.2">
      <c r="A89" s="84">
        <v>1973</v>
      </c>
      <c r="B89" s="81">
        <v>27619.599999999988</v>
      </c>
      <c r="C89" s="4">
        <v>920</v>
      </c>
    </row>
    <row r="90" spans="1:3" hidden="1" x14ac:dyDescent="0.2">
      <c r="A90" s="84">
        <v>1974</v>
      </c>
      <c r="B90" s="81">
        <v>26732.000000000015</v>
      </c>
      <c r="C90" s="4">
        <v>804</v>
      </c>
    </row>
    <row r="91" spans="1:3" hidden="1" x14ac:dyDescent="0.2">
      <c r="A91" s="84">
        <v>1975</v>
      </c>
      <c r="B91" s="81">
        <v>13654.600000000019</v>
      </c>
      <c r="C91" s="4">
        <v>710</v>
      </c>
    </row>
    <row r="92" spans="1:3" hidden="1" x14ac:dyDescent="0.2">
      <c r="A92" s="84">
        <v>1976</v>
      </c>
      <c r="B92" s="81">
        <v>19608.399999999991</v>
      </c>
      <c r="C92" s="4">
        <v>853</v>
      </c>
    </row>
    <row r="93" spans="1:3" hidden="1" x14ac:dyDescent="0.2">
      <c r="A93" s="85">
        <v>1977</v>
      </c>
      <c r="B93" s="82">
        <v>29745.300000000007</v>
      </c>
      <c r="C93" s="80">
        <v>1055</v>
      </c>
    </row>
    <row r="94" spans="1:3" hidden="1" x14ac:dyDescent="0.2">
      <c r="A94" s="84">
        <v>1978</v>
      </c>
      <c r="B94" s="81">
        <v>40044.400000000052</v>
      </c>
      <c r="C94" s="4">
        <v>1359</v>
      </c>
    </row>
    <row r="95" spans="1:3" hidden="1" x14ac:dyDescent="0.2">
      <c r="A95" s="86">
        <v>1979</v>
      </c>
      <c r="B95" s="81">
        <v>40268.500000000015</v>
      </c>
      <c r="C95" s="4">
        <v>1053</v>
      </c>
    </row>
    <row r="96" spans="1:3" hidden="1" x14ac:dyDescent="0.2">
      <c r="A96" s="86">
        <v>1980</v>
      </c>
      <c r="B96" s="81">
        <v>26862.200000000019</v>
      </c>
      <c r="C96" s="4">
        <v>851</v>
      </c>
    </row>
    <row r="97" spans="1:3" hidden="1" x14ac:dyDescent="0.2">
      <c r="A97" s="84">
        <v>1981</v>
      </c>
      <c r="B97" s="81">
        <v>21498.200000000004</v>
      </c>
      <c r="C97" s="4">
        <v>812</v>
      </c>
    </row>
    <row r="98" spans="1:3" hidden="1" x14ac:dyDescent="0.2">
      <c r="A98" s="84">
        <v>1982</v>
      </c>
      <c r="B98" s="81">
        <v>14017.9</v>
      </c>
      <c r="C98" s="4">
        <v>606</v>
      </c>
    </row>
    <row r="99" spans="1:3" hidden="1" x14ac:dyDescent="0.2">
      <c r="A99" s="84">
        <v>1983</v>
      </c>
      <c r="B99" s="81">
        <v>19364.400000000012</v>
      </c>
      <c r="C99" s="4">
        <v>880</v>
      </c>
    </row>
    <row r="100" spans="1:3" hidden="1" x14ac:dyDescent="0.2">
      <c r="A100" s="84">
        <v>1984</v>
      </c>
      <c r="B100" s="81">
        <v>31271.700000000041</v>
      </c>
      <c r="C100" s="4">
        <v>1271</v>
      </c>
    </row>
    <row r="101" spans="1:3" hidden="1" x14ac:dyDescent="0.2">
      <c r="A101" s="84">
        <v>1985</v>
      </c>
      <c r="B101" s="81">
        <v>44833.100000000057</v>
      </c>
      <c r="C101" s="4">
        <v>1461</v>
      </c>
    </row>
    <row r="102" spans="1:3" hidden="1" x14ac:dyDescent="0.2">
      <c r="A102" s="84">
        <v>1986</v>
      </c>
      <c r="B102" s="81">
        <v>46291.200000000019</v>
      </c>
      <c r="C102" s="4">
        <v>1382</v>
      </c>
    </row>
    <row r="103" spans="1:3" hidden="1" x14ac:dyDescent="0.2">
      <c r="A103" s="84">
        <v>1987</v>
      </c>
      <c r="B103" s="81">
        <v>46613.600000000064</v>
      </c>
      <c r="C103" s="4">
        <v>1265</v>
      </c>
    </row>
    <row r="104" spans="1:3" hidden="1" x14ac:dyDescent="0.2">
      <c r="A104" s="84">
        <v>1988</v>
      </c>
      <c r="B104" s="81">
        <v>50555.200000000048</v>
      </c>
      <c r="C104" s="4">
        <v>1237</v>
      </c>
    </row>
    <row r="105" spans="1:3" hidden="1" x14ac:dyDescent="0.2">
      <c r="A105" s="84">
        <v>1989</v>
      </c>
      <c r="B105" s="81">
        <v>48019.100000000035</v>
      </c>
      <c r="C105" s="4">
        <v>1233</v>
      </c>
    </row>
    <row r="106" spans="1:3" hidden="1" x14ac:dyDescent="0.2">
      <c r="A106" s="84">
        <v>1990</v>
      </c>
      <c r="B106" s="81">
        <v>37809.799999999996</v>
      </c>
      <c r="C106" s="4">
        <v>1111</v>
      </c>
    </row>
    <row r="107" spans="1:3" hidden="1" x14ac:dyDescent="0.2">
      <c r="A107" s="84">
        <v>1991</v>
      </c>
      <c r="B107" s="81">
        <v>20082.399999999983</v>
      </c>
      <c r="C107" s="4">
        <v>768</v>
      </c>
    </row>
    <row r="108" spans="1:3" hidden="1" x14ac:dyDescent="0.2">
      <c r="A108" s="84">
        <v>1992</v>
      </c>
      <c r="B108" s="81">
        <v>11010.900000000014</v>
      </c>
      <c r="C108" s="4">
        <v>426</v>
      </c>
    </row>
    <row r="109" spans="1:3" hidden="1" x14ac:dyDescent="0.2">
      <c r="A109" s="84">
        <v>1993</v>
      </c>
      <c r="B109" s="81">
        <v>7511.1999999999962</v>
      </c>
      <c r="C109" s="4">
        <v>470</v>
      </c>
    </row>
    <row r="110" spans="1:3" hidden="1" x14ac:dyDescent="0.2">
      <c r="A110" s="84">
        <v>1994</v>
      </c>
      <c r="B110" s="81">
        <v>11961.3</v>
      </c>
      <c r="C110" s="4">
        <v>465</v>
      </c>
    </row>
    <row r="111" spans="1:3" hidden="1" x14ac:dyDescent="0.2">
      <c r="A111" s="84">
        <v>1995</v>
      </c>
      <c r="B111" s="81">
        <v>13270.899999999998</v>
      </c>
      <c r="C111" s="4">
        <v>521</v>
      </c>
    </row>
    <row r="112" spans="1:3" hidden="1" x14ac:dyDescent="0.2">
      <c r="A112" s="84">
        <v>1996</v>
      </c>
      <c r="B112" s="81">
        <v>20653.800000000003</v>
      </c>
      <c r="C112" s="4">
        <v>570</v>
      </c>
    </row>
    <row r="113" spans="1:3" hidden="1" x14ac:dyDescent="0.2">
      <c r="A113" s="85">
        <v>1997</v>
      </c>
      <c r="B113" s="82">
        <v>27588.899999999998</v>
      </c>
      <c r="C113" s="80">
        <v>407</v>
      </c>
    </row>
    <row r="114" spans="1:3" hidden="1" x14ac:dyDescent="0.2">
      <c r="A114" s="84">
        <v>1998</v>
      </c>
      <c r="B114" s="81">
        <v>41631.299999999974</v>
      </c>
      <c r="C114" s="4">
        <v>476</v>
      </c>
    </row>
    <row r="115" spans="1:3" hidden="1" x14ac:dyDescent="0.2">
      <c r="A115" s="84">
        <v>1999</v>
      </c>
      <c r="B115" s="81">
        <v>48039.599999999969</v>
      </c>
      <c r="C115" s="4">
        <v>533</v>
      </c>
    </row>
    <row r="116" spans="1:3" hidden="1" x14ac:dyDescent="0.2">
      <c r="A116" s="84">
        <v>2000</v>
      </c>
      <c r="B116" s="81">
        <v>52612.199999999968</v>
      </c>
      <c r="C116" s="4">
        <v>500</v>
      </c>
    </row>
    <row r="117" spans="1:3" hidden="1" x14ac:dyDescent="0.2">
      <c r="A117" s="84">
        <v>2001</v>
      </c>
      <c r="B117" s="81">
        <v>40337.200000000026</v>
      </c>
      <c r="C117" s="4">
        <v>432</v>
      </c>
    </row>
    <row r="118" spans="1:3" hidden="1" x14ac:dyDescent="0.2">
      <c r="A118" s="84">
        <v>2002</v>
      </c>
      <c r="B118" s="81">
        <v>33147.200000000004</v>
      </c>
      <c r="C118" s="4">
        <v>399</v>
      </c>
    </row>
    <row r="119" spans="1:3" hidden="1" x14ac:dyDescent="0.2">
      <c r="A119" s="84">
        <v>2003</v>
      </c>
      <c r="B119" s="81">
        <v>30982.799999999977</v>
      </c>
      <c r="C119" s="4">
        <v>398</v>
      </c>
    </row>
    <row r="120" spans="1:3" hidden="1" x14ac:dyDescent="0.2">
      <c r="A120" s="84">
        <v>2004</v>
      </c>
      <c r="B120" s="81">
        <v>29560.799999999985</v>
      </c>
      <c r="C120" s="4">
        <v>417</v>
      </c>
    </row>
    <row r="121" spans="1:3" hidden="1" x14ac:dyDescent="0.2">
      <c r="A121" s="84">
        <v>2005</v>
      </c>
      <c r="B121" s="81">
        <v>27484.099999999995</v>
      </c>
      <c r="C121" s="4">
        <v>347</v>
      </c>
    </row>
    <row r="122" spans="1:3" hidden="1" x14ac:dyDescent="0.2">
      <c r="A122" s="84">
        <v>2006</v>
      </c>
      <c r="B122" s="81">
        <v>25891.899999999983</v>
      </c>
      <c r="C122" s="4">
        <v>299</v>
      </c>
    </row>
    <row r="123" spans="1:3" hidden="1" x14ac:dyDescent="0.2">
      <c r="A123" s="85">
        <v>2007</v>
      </c>
      <c r="B123" s="82">
        <v>25769.199999999993</v>
      </c>
      <c r="C123" s="80">
        <v>248</v>
      </c>
    </row>
    <row r="124" spans="1:3" hidden="1" x14ac:dyDescent="0.2">
      <c r="A124" s="84">
        <v>2008</v>
      </c>
      <c r="B124" s="81">
        <v>20632.600000000006</v>
      </c>
      <c r="C124" s="4">
        <v>236</v>
      </c>
    </row>
    <row r="125" spans="1:3" hidden="1" x14ac:dyDescent="0.2">
      <c r="A125" s="84">
        <v>2009</v>
      </c>
      <c r="B125" s="81">
        <v>5608</v>
      </c>
      <c r="C125" s="4">
        <v>122</v>
      </c>
    </row>
    <row r="126" spans="1:3" hidden="1" x14ac:dyDescent="0.2">
      <c r="A126" s="84">
        <v>2010</v>
      </c>
      <c r="B126" s="81">
        <v>2602.9</v>
      </c>
      <c r="C126" s="4">
        <v>47</v>
      </c>
    </row>
    <row r="127" spans="1:3" hidden="1" x14ac:dyDescent="0.2">
      <c r="A127" s="84">
        <v>2011</v>
      </c>
      <c r="B127" s="81">
        <v>3617.8999999999996</v>
      </c>
      <c r="C127" s="4">
        <v>36</v>
      </c>
    </row>
    <row r="128" spans="1:3" hidden="1" x14ac:dyDescent="0.2">
      <c r="A128" s="84">
        <v>2012</v>
      </c>
      <c r="B128" s="81">
        <v>8233.2000000000007</v>
      </c>
      <c r="C128" s="4">
        <v>63</v>
      </c>
    </row>
    <row r="129" spans="1:3" hidden="1" x14ac:dyDescent="0.2">
      <c r="A129" s="84">
        <v>2013</v>
      </c>
      <c r="B129" s="81">
        <v>17625.900000000009</v>
      </c>
      <c r="C129" s="4">
        <v>46</v>
      </c>
    </row>
    <row r="130" spans="1:3" hidden="1" x14ac:dyDescent="0.2">
      <c r="A130" s="84">
        <v>2014</v>
      </c>
      <c r="B130" s="81">
        <v>13973.900000000001</v>
      </c>
      <c r="C130" s="4">
        <v>72</v>
      </c>
    </row>
    <row r="131" spans="1:3" hidden="1" x14ac:dyDescent="0.2">
      <c r="A131" s="84">
        <v>2015</v>
      </c>
      <c r="B131" s="81">
        <v>29759.5</v>
      </c>
      <c r="C131" s="4">
        <v>104</v>
      </c>
    </row>
    <row r="132" spans="1:3" hidden="1" x14ac:dyDescent="0.2">
      <c r="A132" s="84">
        <v>2016</v>
      </c>
      <c r="B132" s="81">
        <v>25538.800000000003</v>
      </c>
      <c r="C132" s="4">
        <v>152</v>
      </c>
    </row>
    <row r="133" spans="1:3" hidden="1" x14ac:dyDescent="0.2">
      <c r="A133" s="84">
        <v>2017</v>
      </c>
      <c r="B133" s="81">
        <v>27796.899999999994</v>
      </c>
      <c r="C133" s="4">
        <v>105</v>
      </c>
    </row>
    <row r="134" spans="1:3" hidden="1" x14ac:dyDescent="0.2">
      <c r="A134" s="85">
        <v>2018</v>
      </c>
      <c r="B134" s="82">
        <v>32684.699999999997</v>
      </c>
      <c r="C134" s="80">
        <v>117</v>
      </c>
    </row>
    <row r="135" spans="1:3" hidden="1" x14ac:dyDescent="0.2">
      <c r="A135" s="84">
        <v>2019</v>
      </c>
      <c r="B135" s="81">
        <v>30948.5</v>
      </c>
      <c r="C135" s="4">
        <v>141</v>
      </c>
    </row>
    <row r="136" spans="1:3" hidden="1" x14ac:dyDescent="0.2">
      <c r="A136" s="84">
        <v>2020</v>
      </c>
      <c r="B136" s="81">
        <v>34022.899999999994</v>
      </c>
      <c r="C136" s="4">
        <v>162</v>
      </c>
    </row>
    <row r="137" spans="1:3" hidden="1" x14ac:dyDescent="0.2">
      <c r="A137" s="84">
        <v>2021</v>
      </c>
      <c r="B137" s="81">
        <v>53815</v>
      </c>
      <c r="C137" s="4">
        <v>225</v>
      </c>
    </row>
    <row r="138" spans="1:3" hidden="1" x14ac:dyDescent="0.2">
      <c r="A138" s="84">
        <v>2022</v>
      </c>
      <c r="B138" s="81">
        <v>41442.099999999991</v>
      </c>
      <c r="C138" s="4">
        <v>218</v>
      </c>
    </row>
    <row r="139" spans="1:3" hidden="1" x14ac:dyDescent="0.2">
      <c r="A139" s="85">
        <v>2023</v>
      </c>
      <c r="B139" s="82">
        <v>10975.699999999997</v>
      </c>
      <c r="C139" s="80">
        <v>44</v>
      </c>
    </row>
    <row r="140" spans="1:3" hidden="1" x14ac:dyDescent="0.2"/>
  </sheetData>
  <mergeCells count="12">
    <mergeCell ref="B43:C43"/>
    <mergeCell ref="B81:C81"/>
    <mergeCell ref="A2:A5"/>
    <mergeCell ref="A6:A9"/>
    <mergeCell ref="A1:C1"/>
    <mergeCell ref="B41:C41"/>
    <mergeCell ref="B42:C42"/>
    <mergeCell ref="A39:C39"/>
    <mergeCell ref="A26:C26"/>
    <mergeCell ref="A10:A15"/>
    <mergeCell ref="B40:C40"/>
    <mergeCell ref="A16:A23"/>
  </mergeCells>
  <hyperlinks>
    <hyperlink ref="C6" r:id="rId1" xr:uid="{BE11EEF8-3AF7-48F0-A38B-7309CE5A9491}"/>
    <hyperlink ref="C7" r:id="rId2" location="Commercial" xr:uid="{626A4776-C2FA-489E-88C0-BC9C7C8EA36F}"/>
    <hyperlink ref="C8" r:id="rId3" xr:uid="{0DEB00BB-3A26-4527-9ED4-40D17F93A579}"/>
    <hyperlink ref="C17" r:id="rId4" xr:uid="{C101F69F-EDD8-471F-98DF-28BD71BFA34E}"/>
    <hyperlink ref="C18" r:id="rId5" xr:uid="{C21443C5-174B-48CB-B5FC-BB95D3C23A8F}"/>
    <hyperlink ref="C20" r:id="rId6" xr:uid="{4E61207C-6D7D-460C-9DCB-0AE5748B3693}"/>
    <hyperlink ref="C21" r:id="rId7" xr:uid="{5BC370BB-1BDD-4FB0-B79E-B506D3A772A4}"/>
    <hyperlink ref="C12" r:id="rId8" xr:uid="{4C0AD932-1417-4F37-8CE6-5428F9E95D4D}"/>
    <hyperlink ref="C14" r:id="rId9" xr:uid="{01E16CA6-DE8D-459D-AD1C-DBAD9C8825B5}"/>
    <hyperlink ref="C13" r:id="rId10" xr:uid="{F3B96E39-7573-49D7-89DD-B71DAC94F1EC}"/>
    <hyperlink ref="C19" r:id="rId11" xr:uid="{69576B2E-A9A2-478E-A000-014A867874A5}"/>
    <hyperlink ref="C22" r:id="rId12" xr:uid="{FA572175-7543-4BF2-B1BB-ACCFDD3FFEC8}"/>
    <hyperlink ref="C23" r:id="rId13" xr:uid="{3CBEC58C-5994-4990-859E-0C8824DFCABD}"/>
  </hyperlinks>
  <pageMargins left="0.7" right="0.7" top="0.75" bottom="0.75" header="0.3" footer="0.3"/>
  <drawing r:id="rId14"/>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6AAB3-37D4-40C4-AD32-87DEB55DC747}">
  <sheetPr codeName="Sheet17"/>
  <dimension ref="A1:H47"/>
  <sheetViews>
    <sheetView zoomScaleNormal="100" workbookViewId="0">
      <selection sqref="A1:G1"/>
    </sheetView>
  </sheetViews>
  <sheetFormatPr defaultColWidth="8.7109375" defaultRowHeight="12.75" x14ac:dyDescent="0.2"/>
  <cols>
    <col min="1" max="1" width="40.5703125" style="4" customWidth="1"/>
    <col min="2" max="2" width="19" style="4" customWidth="1"/>
    <col min="3" max="3" width="23.28515625" style="4" customWidth="1"/>
    <col min="4" max="4" width="23" style="4" customWidth="1"/>
    <col min="5" max="5" width="21.42578125" style="4" customWidth="1"/>
    <col min="6" max="6" width="25.5703125" style="4" customWidth="1"/>
    <col min="7" max="7" width="46.28515625" style="4" customWidth="1"/>
    <col min="8" max="8" width="19.7109375" style="4" customWidth="1"/>
    <col min="9" max="9" width="54.5703125" style="4" customWidth="1"/>
    <col min="10" max="10" width="9.7109375" style="4" customWidth="1"/>
    <col min="11" max="11" width="13.28515625" style="4" customWidth="1"/>
    <col min="12" max="12" width="24" style="4" customWidth="1"/>
    <col min="13" max="13" width="10.5703125" style="4" customWidth="1"/>
    <col min="14" max="14" width="11.42578125" style="4" customWidth="1"/>
    <col min="15" max="15" width="10.5703125" style="4" customWidth="1"/>
    <col min="16" max="16" width="13.28515625" style="4" customWidth="1"/>
    <col min="17" max="17" width="9.7109375" style="4" customWidth="1"/>
    <col min="18" max="18" width="9.42578125" style="4" customWidth="1"/>
    <col min="19" max="19" width="12.7109375" style="4" customWidth="1"/>
    <col min="20" max="20" width="14.7109375" style="4" customWidth="1"/>
    <col min="21" max="21" width="20.7109375" style="4" customWidth="1"/>
    <col min="22" max="22" width="19.7109375" style="4" customWidth="1"/>
    <col min="23" max="28" width="8.7109375" style="4"/>
    <col min="29" max="29" width="13.7109375" style="4" bestFit="1" customWidth="1"/>
    <col min="30" max="16384" width="8.7109375" style="4"/>
  </cols>
  <sheetData>
    <row r="1" spans="1:7" ht="25.9" customHeight="1" x14ac:dyDescent="0.2">
      <c r="A1" s="660" t="str">
        <f>"Interior Lighting - "&amp;Prototype!A2</f>
        <v>Interior Lighting - Warehouse</v>
      </c>
      <c r="B1" s="578"/>
      <c r="C1" s="578"/>
      <c r="D1" s="578"/>
      <c r="E1" s="578"/>
      <c r="F1" s="578"/>
      <c r="G1" s="578"/>
    </row>
    <row r="2" spans="1:7" ht="18.600000000000001" customHeight="1" x14ac:dyDescent="0.2">
      <c r="A2" s="661" t="s">
        <v>154</v>
      </c>
      <c r="B2" s="662" t="s">
        <v>456</v>
      </c>
      <c r="C2" s="663"/>
      <c r="D2" s="664"/>
      <c r="E2" s="662" t="s">
        <v>325</v>
      </c>
      <c r="F2" s="663"/>
      <c r="G2" s="664"/>
    </row>
    <row r="3" spans="1:7" ht="28.9" customHeight="1" x14ac:dyDescent="0.2">
      <c r="A3" s="661"/>
      <c r="B3" s="61" t="s">
        <v>457</v>
      </c>
      <c r="C3" s="61" t="s">
        <v>458</v>
      </c>
      <c r="D3" s="351" t="s">
        <v>238</v>
      </c>
      <c r="E3" s="352" t="s">
        <v>459</v>
      </c>
      <c r="F3" s="353" t="s">
        <v>458</v>
      </c>
      <c r="G3" s="61" t="s">
        <v>238</v>
      </c>
    </row>
    <row r="4" spans="1:7" ht="38.25" customHeight="1" x14ac:dyDescent="0.2">
      <c r="A4" s="317" t="s">
        <v>165</v>
      </c>
      <c r="B4" s="506">
        <v>0.6</v>
      </c>
      <c r="C4" s="506"/>
      <c r="D4" s="665" t="s">
        <v>460</v>
      </c>
      <c r="E4" s="506">
        <v>0.75</v>
      </c>
      <c r="F4" s="354"/>
      <c r="G4" s="665" t="s">
        <v>461</v>
      </c>
    </row>
    <row r="5" spans="1:7" ht="44.25" customHeight="1" x14ac:dyDescent="0.2">
      <c r="A5" s="317" t="s">
        <v>169</v>
      </c>
      <c r="B5" s="506">
        <v>0.4</v>
      </c>
      <c r="C5" s="506"/>
      <c r="D5" s="665"/>
      <c r="E5" s="506">
        <v>0.5</v>
      </c>
      <c r="F5" s="354"/>
      <c r="G5" s="665"/>
    </row>
    <row r="6" spans="1:7" ht="16.899999999999999" customHeight="1" x14ac:dyDescent="0.2">
      <c r="A6" s="666"/>
      <c r="B6" s="7"/>
      <c r="D6" s="666"/>
    </row>
    <row r="7" spans="1:7" ht="16.899999999999999" customHeight="1" x14ac:dyDescent="0.2">
      <c r="A7" s="666"/>
      <c r="B7" s="7"/>
      <c r="D7" s="666"/>
    </row>
    <row r="8" spans="1:7" ht="16.899999999999999" customHeight="1" x14ac:dyDescent="0.2">
      <c r="A8" s="666"/>
      <c r="B8" s="7"/>
      <c r="D8" s="666"/>
    </row>
    <row r="9" spans="1:7" ht="13.15" customHeight="1" x14ac:dyDescent="0.2">
      <c r="B9" s="24"/>
      <c r="C9" s="24"/>
      <c r="D9" s="24"/>
      <c r="E9" s="24"/>
    </row>
    <row r="10" spans="1:7" ht="13.15" customHeight="1" x14ac:dyDescent="0.2">
      <c r="B10" s="24"/>
      <c r="C10" s="24"/>
      <c r="D10" s="24"/>
      <c r="E10" s="24"/>
    </row>
    <row r="11" spans="1:7" ht="13.15" customHeight="1" x14ac:dyDescent="0.2">
      <c r="B11" s="24"/>
      <c r="C11" s="24"/>
      <c r="D11" s="24"/>
      <c r="E11" s="24"/>
    </row>
    <row r="12" spans="1:7" ht="13.15" customHeight="1" x14ac:dyDescent="0.2">
      <c r="B12" s="24"/>
      <c r="C12" s="24"/>
      <c r="D12" s="24"/>
      <c r="E12" s="24"/>
    </row>
    <row r="13" spans="1:7" ht="13.15" customHeight="1" x14ac:dyDescent="0.2">
      <c r="B13" s="24"/>
      <c r="C13" s="24"/>
      <c r="D13" s="24"/>
      <c r="E13" s="24"/>
    </row>
    <row r="14" spans="1:7" ht="13.15" customHeight="1" x14ac:dyDescent="0.2">
      <c r="B14" s="24"/>
      <c r="C14" s="24"/>
      <c r="D14" s="24"/>
      <c r="E14" s="24"/>
    </row>
    <row r="15" spans="1:7" ht="13.15" customHeight="1" x14ac:dyDescent="0.2">
      <c r="B15" s="24"/>
      <c r="C15" s="24"/>
      <c r="D15" s="24"/>
      <c r="E15" s="24"/>
    </row>
    <row r="16" spans="1:7" ht="13.15" customHeight="1" x14ac:dyDescent="0.2">
      <c r="B16" s="24"/>
      <c r="C16" s="24"/>
      <c r="D16" s="24"/>
      <c r="E16" s="24"/>
    </row>
    <row r="17" spans="1:8" ht="13.15" customHeight="1" x14ac:dyDescent="0.2">
      <c r="B17" s="24"/>
      <c r="C17" s="24"/>
      <c r="D17" s="24"/>
      <c r="E17" s="24"/>
    </row>
    <row r="18" spans="1:8" ht="13.15" customHeight="1" x14ac:dyDescent="0.2">
      <c r="B18" s="24"/>
      <c r="C18" s="24"/>
      <c r="D18" s="24"/>
      <c r="E18" s="24"/>
    </row>
    <row r="19" spans="1:8" ht="13.15" customHeight="1" x14ac:dyDescent="0.2">
      <c r="B19" s="24"/>
      <c r="C19" s="24"/>
      <c r="D19" s="24"/>
      <c r="E19" s="24"/>
    </row>
    <row r="20" spans="1:8" ht="13.15" customHeight="1" x14ac:dyDescent="0.2">
      <c r="B20" s="24"/>
      <c r="C20" s="24"/>
      <c r="D20" s="24"/>
      <c r="E20" s="24"/>
    </row>
    <row r="21" spans="1:8" ht="13.15" customHeight="1" x14ac:dyDescent="0.2">
      <c r="B21" s="24"/>
      <c r="C21" s="24"/>
      <c r="D21" s="24"/>
      <c r="E21" s="24"/>
    </row>
    <row r="22" spans="1:8" ht="13.15" customHeight="1" x14ac:dyDescent="0.2">
      <c r="B22" s="24"/>
      <c r="C22" s="24"/>
      <c r="D22" s="24"/>
      <c r="E22" s="24"/>
    </row>
    <row r="23" spans="1:8" ht="13.15" customHeight="1" x14ac:dyDescent="0.2">
      <c r="B23" s="24"/>
      <c r="C23" s="24"/>
      <c r="D23" s="24"/>
      <c r="E23" s="24"/>
    </row>
    <row r="24" spans="1:8" ht="13.15" customHeight="1" x14ac:dyDescent="0.2">
      <c r="B24" s="24"/>
      <c r="C24" s="24"/>
      <c r="D24" s="24"/>
      <c r="E24" s="24"/>
    </row>
    <row r="25" spans="1:8" ht="13.15" customHeight="1" x14ac:dyDescent="0.2">
      <c r="B25" s="24"/>
      <c r="C25" s="24"/>
      <c r="D25" s="24"/>
      <c r="E25" s="24"/>
    </row>
    <row r="26" spans="1:8" ht="13.15" customHeight="1" x14ac:dyDescent="0.2">
      <c r="B26" s="24"/>
      <c r="C26" s="24"/>
      <c r="D26" s="24"/>
      <c r="E26" s="24"/>
    </row>
    <row r="27" spans="1:8" ht="13.15" customHeight="1" x14ac:dyDescent="0.2">
      <c r="B27" s="24"/>
      <c r="C27" s="24"/>
      <c r="D27" s="24"/>
      <c r="E27" s="24"/>
    </row>
    <row r="28" spans="1:8" s="28" customFormat="1" hidden="1" x14ac:dyDescent="0.2">
      <c r="A28" s="28" t="s">
        <v>75</v>
      </c>
      <c r="F28" s="29"/>
      <c r="G28" s="30"/>
      <c r="H28" s="31"/>
    </row>
    <row r="29" spans="1:8" ht="17.649999999999999" hidden="1" customHeight="1" x14ac:dyDescent="0.2"/>
    <row r="30" spans="1:8" ht="15" hidden="1" x14ac:dyDescent="0.2">
      <c r="A30" s="78"/>
    </row>
    <row r="31" spans="1:8" hidden="1" x14ac:dyDescent="0.2"/>
    <row r="32" spans="1:8" hidden="1" x14ac:dyDescent="0.2">
      <c r="A32" s="594" t="s">
        <v>462</v>
      </c>
      <c r="B32" s="484" t="s">
        <v>463</v>
      </c>
      <c r="C32" s="16" t="s">
        <v>464</v>
      </c>
      <c r="D32" s="501">
        <v>0.4</v>
      </c>
      <c r="E32" s="7"/>
      <c r="F32" s="91" t="s">
        <v>465</v>
      </c>
    </row>
    <row r="33" spans="1:6" hidden="1" x14ac:dyDescent="0.2">
      <c r="A33" s="595"/>
      <c r="B33" s="534" t="s">
        <v>466</v>
      </c>
      <c r="C33" s="16">
        <f>Zones!B30</f>
        <v>0</v>
      </c>
      <c r="D33" s="16">
        <v>0.65</v>
      </c>
      <c r="E33" s="7"/>
      <c r="F33" s="581" t="s">
        <v>467</v>
      </c>
    </row>
    <row r="34" spans="1:6" hidden="1" x14ac:dyDescent="0.2">
      <c r="A34" s="595"/>
      <c r="B34" s="534"/>
      <c r="C34" s="16">
        <f>Zones!B31</f>
        <v>0</v>
      </c>
      <c r="D34" s="16">
        <v>0.4</v>
      </c>
      <c r="E34" s="7"/>
      <c r="F34" s="581"/>
    </row>
    <row r="35" spans="1:6" hidden="1" x14ac:dyDescent="0.2">
      <c r="A35" s="596"/>
      <c r="B35" s="534"/>
      <c r="C35" s="16">
        <f>Zones!B32</f>
        <v>0</v>
      </c>
      <c r="D35" s="16">
        <v>0.4</v>
      </c>
      <c r="E35" s="7"/>
      <c r="F35" s="581"/>
    </row>
    <row r="36" spans="1:6" hidden="1" x14ac:dyDescent="0.2"/>
    <row r="37" spans="1:6" hidden="1" x14ac:dyDescent="0.2">
      <c r="A37" s="594" t="s">
        <v>462</v>
      </c>
      <c r="B37" s="484" t="s">
        <v>463</v>
      </c>
      <c r="C37" s="16" t="s">
        <v>464</v>
      </c>
      <c r="D37" s="501">
        <v>0.5</v>
      </c>
      <c r="E37" s="7"/>
      <c r="F37" s="91" t="s">
        <v>468</v>
      </c>
    </row>
    <row r="38" spans="1:6" hidden="1" x14ac:dyDescent="0.2">
      <c r="A38" s="595"/>
      <c r="B38" s="534" t="s">
        <v>466</v>
      </c>
      <c r="C38" s="16" t="s">
        <v>469</v>
      </c>
      <c r="D38" s="16">
        <v>0.75</v>
      </c>
      <c r="E38" s="7"/>
      <c r="F38" s="581" t="s">
        <v>470</v>
      </c>
    </row>
    <row r="39" spans="1:6" hidden="1" x14ac:dyDescent="0.2">
      <c r="A39" s="595"/>
      <c r="B39" s="534"/>
      <c r="C39" s="16" t="s">
        <v>471</v>
      </c>
      <c r="D39" s="16">
        <v>0.5</v>
      </c>
      <c r="E39" s="7"/>
      <c r="F39" s="581"/>
    </row>
    <row r="40" spans="1:6" hidden="1" x14ac:dyDescent="0.2">
      <c r="A40" s="596"/>
      <c r="B40" s="534"/>
      <c r="C40" s="16" t="s">
        <v>472</v>
      </c>
      <c r="D40" s="16">
        <v>0.5</v>
      </c>
      <c r="E40" s="7"/>
      <c r="F40" s="581"/>
    </row>
    <row r="41" spans="1:6" hidden="1" x14ac:dyDescent="0.2"/>
    <row r="42" spans="1:6" hidden="1" x14ac:dyDescent="0.2">
      <c r="A42" s="594" t="s">
        <v>462</v>
      </c>
      <c r="B42" s="484" t="s">
        <v>463</v>
      </c>
      <c r="C42" s="16" t="s">
        <v>464</v>
      </c>
      <c r="D42" s="501">
        <v>0.6</v>
      </c>
      <c r="E42" s="7"/>
      <c r="F42" s="91" t="s">
        <v>473</v>
      </c>
    </row>
    <row r="43" spans="1:6" hidden="1" x14ac:dyDescent="0.2">
      <c r="A43" s="595"/>
      <c r="B43" s="534" t="s">
        <v>466</v>
      </c>
      <c r="C43" s="16" t="s">
        <v>469</v>
      </c>
      <c r="D43" s="16">
        <v>0.75</v>
      </c>
      <c r="E43" s="7"/>
      <c r="F43" s="581" t="s">
        <v>474</v>
      </c>
    </row>
    <row r="44" spans="1:6" hidden="1" x14ac:dyDescent="0.2">
      <c r="A44" s="595"/>
      <c r="B44" s="534"/>
      <c r="C44" s="16" t="s">
        <v>471</v>
      </c>
      <c r="D44" s="16">
        <v>0.6</v>
      </c>
      <c r="E44" s="7"/>
      <c r="F44" s="581"/>
    </row>
    <row r="45" spans="1:6" hidden="1" x14ac:dyDescent="0.2">
      <c r="A45" s="596"/>
      <c r="B45" s="534"/>
      <c r="C45" s="16" t="s">
        <v>472</v>
      </c>
      <c r="D45" s="16">
        <v>0.6</v>
      </c>
      <c r="E45" s="7"/>
      <c r="F45" s="581"/>
    </row>
    <row r="46" spans="1:6" hidden="1" x14ac:dyDescent="0.2"/>
    <row r="47" spans="1:6" hidden="1" x14ac:dyDescent="0.2"/>
  </sheetData>
  <mergeCells count="17">
    <mergeCell ref="F38:F40"/>
    <mergeCell ref="A1:G1"/>
    <mergeCell ref="A2:A3"/>
    <mergeCell ref="B2:D2"/>
    <mergeCell ref="E2:G2"/>
    <mergeCell ref="A42:A45"/>
    <mergeCell ref="B43:B45"/>
    <mergeCell ref="F43:F45"/>
    <mergeCell ref="G4:G5"/>
    <mergeCell ref="D4:D5"/>
    <mergeCell ref="D6:D8"/>
    <mergeCell ref="A6:A8"/>
    <mergeCell ref="A32:A35"/>
    <mergeCell ref="B33:B35"/>
    <mergeCell ref="F33:F35"/>
    <mergeCell ref="A37:A40"/>
    <mergeCell ref="B38:B40"/>
  </mergeCells>
  <phoneticPr fontId="7" type="noConversion"/>
  <pageMargins left="0.7" right="0.7" top="0.75" bottom="0.75" header="0.3" footer="0.3"/>
  <legacy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A98FA8-1D97-4D12-96EB-6911ACEC625A}">
  <sheetPr codeName="Sheet18"/>
  <dimension ref="A1:G51"/>
  <sheetViews>
    <sheetView zoomScaleNormal="100" workbookViewId="0">
      <selection sqref="A1:D1"/>
    </sheetView>
  </sheetViews>
  <sheetFormatPr defaultColWidth="8.7109375" defaultRowHeight="12.75" x14ac:dyDescent="0.2"/>
  <cols>
    <col min="1" max="1" width="34" style="4" customWidth="1"/>
    <col min="2" max="2" width="37.85546875" style="4" customWidth="1"/>
    <col min="3" max="3" width="16.85546875" style="4" customWidth="1"/>
    <col min="4" max="4" width="28" style="4" customWidth="1"/>
    <col min="5" max="5" width="33.140625" style="4" customWidth="1"/>
    <col min="6" max="6" width="12.5703125" style="4" customWidth="1"/>
    <col min="7" max="7" width="17.5703125" style="4" customWidth="1"/>
    <col min="8" max="8" width="15.5703125" style="4" customWidth="1"/>
    <col min="9" max="9" width="13.28515625" style="4" customWidth="1"/>
    <col min="10" max="16384" width="8.7109375" style="4"/>
  </cols>
  <sheetData>
    <row r="1" spans="1:7" ht="25.15" customHeight="1" x14ac:dyDescent="0.2">
      <c r="A1" s="668" t="str">
        <f>"Exterior Lighting - "&amp;Prototype!A2</f>
        <v>Exterior Lighting - Warehouse</v>
      </c>
      <c r="B1" s="668"/>
      <c r="C1" s="668"/>
      <c r="D1" s="668"/>
    </row>
    <row r="2" spans="1:7" ht="37.15" customHeight="1" x14ac:dyDescent="0.2">
      <c r="A2" s="307" t="s">
        <v>475</v>
      </c>
      <c r="B2" s="307" t="s">
        <v>476</v>
      </c>
      <c r="C2" s="307" t="s">
        <v>477</v>
      </c>
      <c r="D2" s="307" t="s">
        <v>238</v>
      </c>
    </row>
    <row r="3" spans="1:7" ht="22.15" customHeight="1" x14ac:dyDescent="0.2">
      <c r="A3" s="315">
        <f>G15</f>
        <v>751.55690120481927</v>
      </c>
      <c r="B3" s="315">
        <f>G16</f>
        <v>1380.431521</v>
      </c>
      <c r="C3" s="315">
        <f>B3+A3</f>
        <v>2131.9884222048195</v>
      </c>
      <c r="D3" s="514" t="s">
        <v>478</v>
      </c>
    </row>
    <row r="8" spans="1:7" ht="22.15" customHeight="1" x14ac:dyDescent="0.2">
      <c r="A8" s="536" t="s">
        <v>479</v>
      </c>
      <c r="B8" s="536"/>
      <c r="C8" s="536"/>
      <c r="D8" s="536"/>
      <c r="E8" s="536"/>
      <c r="F8" s="536"/>
      <c r="G8" s="174"/>
    </row>
    <row r="9" spans="1:7" ht="57.6" customHeight="1" x14ac:dyDescent="0.2">
      <c r="A9" s="306" t="s">
        <v>480</v>
      </c>
      <c r="B9" s="669" t="s">
        <v>481</v>
      </c>
      <c r="C9" s="670"/>
      <c r="D9" s="307" t="s">
        <v>417</v>
      </c>
      <c r="E9" s="307" t="s">
        <v>482</v>
      </c>
      <c r="F9" s="307" t="s">
        <v>417</v>
      </c>
      <c r="G9" s="307" t="s">
        <v>483</v>
      </c>
    </row>
    <row r="10" spans="1:7" ht="19.149999999999999" customHeight="1" x14ac:dyDescent="0.2">
      <c r="A10" s="308" t="s">
        <v>484</v>
      </c>
      <c r="B10" s="308"/>
      <c r="C10" s="309"/>
      <c r="D10" s="514"/>
      <c r="E10" s="514">
        <v>200</v>
      </c>
      <c r="F10" s="514" t="s">
        <v>485</v>
      </c>
      <c r="G10" s="310">
        <f>$E10</f>
        <v>200</v>
      </c>
    </row>
    <row r="11" spans="1:7" ht="38.25" x14ac:dyDescent="0.2">
      <c r="A11" s="305" t="s">
        <v>486</v>
      </c>
      <c r="B11" s="305" t="s">
        <v>487</v>
      </c>
      <c r="C11" s="311">
        <f>B22/830*400</f>
        <v>25081.942168674697</v>
      </c>
      <c r="D11" s="514" t="s">
        <v>488</v>
      </c>
      <c r="E11" s="514">
        <v>1.9E-2</v>
      </c>
      <c r="F11" s="514" t="s">
        <v>489</v>
      </c>
      <c r="G11" s="310">
        <f>$E11*C11</f>
        <v>476.55690120481921</v>
      </c>
    </row>
    <row r="12" spans="1:7" ht="25.5" x14ac:dyDescent="0.2">
      <c r="A12" s="308" t="s">
        <v>490</v>
      </c>
      <c r="B12" s="305" t="s">
        <v>491</v>
      </c>
      <c r="C12" s="309">
        <f>5</f>
        <v>5</v>
      </c>
      <c r="D12" s="514" t="s">
        <v>492</v>
      </c>
      <c r="E12" s="514">
        <v>15</v>
      </c>
      <c r="F12" s="514" t="s">
        <v>493</v>
      </c>
      <c r="G12" s="310">
        <f>E12*C12</f>
        <v>75</v>
      </c>
    </row>
    <row r="13" spans="1:7" ht="25.5" x14ac:dyDescent="0.2">
      <c r="A13" s="308" t="s">
        <v>494</v>
      </c>
      <c r="B13" s="305" t="s">
        <v>495</v>
      </c>
      <c r="C13" s="312">
        <f>B22*0.1</f>
        <v>5204.5030000000006</v>
      </c>
      <c r="D13" s="514" t="s">
        <v>488</v>
      </c>
      <c r="E13" s="514">
        <v>7.0000000000000001E-3</v>
      </c>
      <c r="F13" s="514" t="s">
        <v>489</v>
      </c>
      <c r="G13" s="313">
        <f>E13*C13</f>
        <v>36.431521000000004</v>
      </c>
    </row>
    <row r="14" spans="1:7" ht="96" customHeight="1" x14ac:dyDescent="0.2">
      <c r="A14" s="308" t="s">
        <v>496</v>
      </c>
      <c r="B14" s="305" t="s">
        <v>497</v>
      </c>
      <c r="C14" s="312">
        <f>B21*0.5*28</f>
        <v>13440</v>
      </c>
      <c r="D14" s="514" t="s">
        <v>488</v>
      </c>
      <c r="E14" s="514">
        <v>0.1</v>
      </c>
      <c r="F14" s="514" t="s">
        <v>489</v>
      </c>
      <c r="G14" s="313">
        <f>E14*C14</f>
        <v>1344</v>
      </c>
    </row>
    <row r="15" spans="1:7" ht="14.25" x14ac:dyDescent="0.2">
      <c r="A15" s="667" t="s">
        <v>498</v>
      </c>
      <c r="B15" s="667"/>
      <c r="C15" s="667"/>
      <c r="D15" s="667"/>
      <c r="E15" s="667"/>
      <c r="F15" s="667"/>
      <c r="G15" s="464">
        <f>G11+G10+G12</f>
        <v>751.55690120481927</v>
      </c>
    </row>
    <row r="16" spans="1:7" ht="14.25" x14ac:dyDescent="0.2">
      <c r="A16" s="667" t="s">
        <v>499</v>
      </c>
      <c r="B16" s="667"/>
      <c r="C16" s="667"/>
      <c r="D16" s="667"/>
      <c r="E16" s="667"/>
      <c r="F16" s="667"/>
      <c r="G16" s="464">
        <f>G13+G14</f>
        <v>1380.431521</v>
      </c>
    </row>
    <row r="17" spans="1:7" ht="14.25" x14ac:dyDescent="0.2">
      <c r="A17" s="667" t="s">
        <v>500</v>
      </c>
      <c r="B17" s="667"/>
      <c r="C17" s="667"/>
      <c r="D17" s="667"/>
      <c r="E17" s="667"/>
      <c r="F17" s="667"/>
      <c r="G17" s="314">
        <f t="shared" ref="G17" si="0">G15+G16</f>
        <v>2131.9884222048195</v>
      </c>
    </row>
    <row r="18" spans="1:7" ht="14.25" x14ac:dyDescent="0.2">
      <c r="A18" s="485"/>
      <c r="B18" s="485"/>
      <c r="C18" s="485"/>
      <c r="D18" s="485"/>
      <c r="E18" s="485"/>
      <c r="F18" s="485"/>
      <c r="G18" s="273"/>
    </row>
    <row r="19" spans="1:7" x14ac:dyDescent="0.2">
      <c r="A19" s="4" t="s">
        <v>501</v>
      </c>
      <c r="C19" s="498"/>
      <c r="F19" s="275"/>
    </row>
    <row r="20" spans="1:7" x14ac:dyDescent="0.2">
      <c r="C20" s="498"/>
      <c r="F20" s="275"/>
    </row>
    <row r="21" spans="1:7" x14ac:dyDescent="0.2">
      <c r="A21" s="4" t="s">
        <v>502</v>
      </c>
      <c r="B21" s="374">
        <f>(330+150)*2</f>
        <v>960</v>
      </c>
      <c r="C21" s="498"/>
      <c r="F21" s="275"/>
    </row>
    <row r="22" spans="1:7" x14ac:dyDescent="0.2">
      <c r="A22" s="4" t="s">
        <v>503</v>
      </c>
      <c r="B22" s="99">
        <f>Zones!G6</f>
        <v>52045.03</v>
      </c>
      <c r="F22" s="275"/>
    </row>
    <row r="23" spans="1:7" x14ac:dyDescent="0.2">
      <c r="A23" s="4" t="s">
        <v>504</v>
      </c>
      <c r="B23" s="374">
        <v>1</v>
      </c>
      <c r="F23" s="275"/>
    </row>
    <row r="26" spans="1:7" s="28" customFormat="1" ht="13.15" hidden="1" customHeight="1" x14ac:dyDescent="0.2">
      <c r="A26" s="28" t="s">
        <v>75</v>
      </c>
      <c r="E26" s="29"/>
      <c r="F26" s="30"/>
      <c r="G26" s="31"/>
    </row>
    <row r="28" spans="1:7" ht="15" hidden="1" x14ac:dyDescent="0.2">
      <c r="A28" s="274"/>
    </row>
    <row r="29" spans="1:7" hidden="1" x14ac:dyDescent="0.2">
      <c r="A29" s="5" t="s">
        <v>505</v>
      </c>
    </row>
    <row r="30" spans="1:7" hidden="1" x14ac:dyDescent="0.2"/>
    <row r="31" spans="1:7" hidden="1" x14ac:dyDescent="0.2"/>
    <row r="32" spans="1:7" hidden="1" x14ac:dyDescent="0.2"/>
    <row r="33" hidden="1" x14ac:dyDescent="0.2"/>
    <row r="34" hidden="1" x14ac:dyDescent="0.2"/>
    <row r="35" hidden="1" x14ac:dyDescent="0.2"/>
    <row r="36" hidden="1" x14ac:dyDescent="0.2"/>
    <row r="37" hidden="1" x14ac:dyDescent="0.2"/>
    <row r="38" hidden="1" x14ac:dyDescent="0.2"/>
    <row r="39" hidden="1" x14ac:dyDescent="0.2"/>
    <row r="40" hidden="1" x14ac:dyDescent="0.2"/>
    <row r="41" hidden="1" x14ac:dyDescent="0.2"/>
    <row r="42" hidden="1" x14ac:dyDescent="0.2"/>
    <row r="43" hidden="1" x14ac:dyDescent="0.2"/>
    <row r="44" hidden="1" x14ac:dyDescent="0.2"/>
    <row r="45" hidden="1" x14ac:dyDescent="0.2"/>
    <row r="46" hidden="1" x14ac:dyDescent="0.2"/>
    <row r="47" hidden="1" x14ac:dyDescent="0.2"/>
    <row r="48" hidden="1" x14ac:dyDescent="0.2"/>
    <row r="49" hidden="1" x14ac:dyDescent="0.2"/>
    <row r="50" hidden="1" x14ac:dyDescent="0.2"/>
    <row r="51" hidden="1" x14ac:dyDescent="0.2"/>
  </sheetData>
  <mergeCells count="6">
    <mergeCell ref="A15:F15"/>
    <mergeCell ref="A16:F16"/>
    <mergeCell ref="A17:F17"/>
    <mergeCell ref="A1:D1"/>
    <mergeCell ref="B9:C9"/>
    <mergeCell ref="A8:F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AEBC7-570E-431D-A891-0E68E13886AA}">
  <sheetPr codeName="Sheet11"/>
  <dimension ref="A1:AO212"/>
  <sheetViews>
    <sheetView zoomScale="90" zoomScaleNormal="90" workbookViewId="0">
      <pane xSplit="5" ySplit="3" topLeftCell="F7" activePane="bottomRight" state="frozen"/>
      <selection pane="topRight" activeCell="E1" sqref="E1"/>
      <selection pane="bottomLeft" activeCell="A4" sqref="A4"/>
      <selection pane="bottomRight" sqref="A1:AC1"/>
    </sheetView>
  </sheetViews>
  <sheetFormatPr defaultColWidth="9.28515625" defaultRowHeight="12" x14ac:dyDescent="0.25"/>
  <cols>
    <col min="1" max="1" width="17.28515625" style="47" customWidth="1"/>
    <col min="2" max="2" width="20.5703125" style="47" customWidth="1"/>
    <col min="3" max="3" width="27.28515625" style="47" customWidth="1"/>
    <col min="4" max="4" width="30.28515625" style="47" customWidth="1"/>
    <col min="5" max="5" width="9.28515625" style="47" bestFit="1" customWidth="1"/>
    <col min="6" max="28" width="5.7109375" style="47" customWidth="1"/>
    <col min="29" max="29" width="4.28515625" style="47" bestFit="1" customWidth="1"/>
    <col min="30" max="16384" width="9.28515625" style="47"/>
  </cols>
  <sheetData>
    <row r="1" spans="1:39" ht="24" customHeight="1" x14ac:dyDescent="0.25">
      <c r="A1" s="593" t="str">
        <f>"Schedules - "&amp;Prototype!A2</f>
        <v>Schedules - Warehouse</v>
      </c>
      <c r="B1" s="593"/>
      <c r="C1" s="593"/>
      <c r="D1" s="593"/>
      <c r="E1" s="593"/>
      <c r="F1" s="593"/>
      <c r="G1" s="593"/>
      <c r="H1" s="593"/>
      <c r="I1" s="593"/>
      <c r="J1" s="593"/>
      <c r="K1" s="593"/>
      <c r="L1" s="593"/>
      <c r="M1" s="593"/>
      <c r="N1" s="593"/>
      <c r="O1" s="593"/>
      <c r="P1" s="593"/>
      <c r="Q1" s="593"/>
      <c r="R1" s="593"/>
      <c r="S1" s="593"/>
      <c r="T1" s="593"/>
      <c r="U1" s="593"/>
      <c r="V1" s="593"/>
      <c r="W1" s="593"/>
      <c r="X1" s="593"/>
      <c r="Y1" s="593"/>
      <c r="Z1" s="593"/>
      <c r="AA1" s="593"/>
      <c r="AB1" s="593"/>
      <c r="AC1" s="731"/>
      <c r="AD1" s="48"/>
      <c r="AE1" s="48"/>
      <c r="AF1" s="48"/>
      <c r="AG1" s="48"/>
      <c r="AH1" s="48"/>
      <c r="AI1" s="49"/>
      <c r="AJ1" s="49"/>
      <c r="AK1" s="49"/>
    </row>
    <row r="2" spans="1:39" ht="24" customHeight="1" x14ac:dyDescent="0.25">
      <c r="A2" s="711" t="s">
        <v>240</v>
      </c>
      <c r="B2" s="711" t="s">
        <v>156</v>
      </c>
      <c r="C2" s="711" t="s">
        <v>510</v>
      </c>
      <c r="D2" s="711" t="s">
        <v>238</v>
      </c>
      <c r="E2" s="711" t="s">
        <v>511</v>
      </c>
      <c r="F2" s="713" t="s">
        <v>506</v>
      </c>
      <c r="G2" s="713"/>
      <c r="H2" s="713"/>
      <c r="I2" s="713"/>
      <c r="J2" s="713"/>
      <c r="K2" s="713"/>
      <c r="L2" s="713"/>
      <c r="M2" s="713"/>
      <c r="N2" s="713"/>
      <c r="O2" s="713"/>
      <c r="P2" s="713"/>
      <c r="Q2" s="713"/>
      <c r="R2" s="713"/>
      <c r="S2" s="713"/>
      <c r="T2" s="713"/>
      <c r="U2" s="713"/>
      <c r="V2" s="713"/>
      <c r="W2" s="713"/>
      <c r="X2" s="713"/>
      <c r="Y2" s="713"/>
      <c r="Z2" s="713"/>
      <c r="AA2" s="713"/>
      <c r="AB2" s="713"/>
      <c r="AC2" s="713"/>
      <c r="AD2" s="48"/>
      <c r="AE2" s="48"/>
      <c r="AF2" s="48"/>
      <c r="AG2" s="48"/>
      <c r="AH2" s="48"/>
      <c r="AI2" s="49"/>
      <c r="AJ2" s="49"/>
      <c r="AK2" s="49"/>
    </row>
    <row r="3" spans="1:39" ht="25.15" customHeight="1" thickBot="1" x14ac:dyDescent="0.3">
      <c r="A3" s="712"/>
      <c r="B3" s="712"/>
      <c r="C3" s="712"/>
      <c r="D3" s="712"/>
      <c r="E3" s="712"/>
      <c r="F3" s="510">
        <v>1</v>
      </c>
      <c r="G3" s="510">
        <v>2</v>
      </c>
      <c r="H3" s="510">
        <v>3</v>
      </c>
      <c r="I3" s="510">
        <v>4</v>
      </c>
      <c r="J3" s="510">
        <v>5</v>
      </c>
      <c r="K3" s="510">
        <v>6</v>
      </c>
      <c r="L3" s="510">
        <v>7</v>
      </c>
      <c r="M3" s="510">
        <v>8</v>
      </c>
      <c r="N3" s="510">
        <v>9</v>
      </c>
      <c r="O3" s="510">
        <v>10</v>
      </c>
      <c r="P3" s="510">
        <v>11</v>
      </c>
      <c r="Q3" s="510">
        <v>12</v>
      </c>
      <c r="R3" s="510">
        <v>13</v>
      </c>
      <c r="S3" s="510">
        <v>14</v>
      </c>
      <c r="T3" s="510">
        <v>15</v>
      </c>
      <c r="U3" s="510">
        <v>16</v>
      </c>
      <c r="V3" s="510">
        <v>17</v>
      </c>
      <c r="W3" s="510">
        <v>18</v>
      </c>
      <c r="X3" s="510">
        <v>19</v>
      </c>
      <c r="Y3" s="510">
        <v>20</v>
      </c>
      <c r="Z3" s="510">
        <v>21</v>
      </c>
      <c r="AA3" s="510">
        <v>22</v>
      </c>
      <c r="AB3" s="510">
        <v>23</v>
      </c>
      <c r="AC3" s="510">
        <v>24</v>
      </c>
      <c r="AD3" s="49"/>
      <c r="AE3" s="49"/>
      <c r="AF3" s="49"/>
      <c r="AG3" s="49"/>
      <c r="AH3" s="49"/>
      <c r="AI3" s="49"/>
      <c r="AJ3" s="49"/>
      <c r="AK3" s="49"/>
    </row>
    <row r="4" spans="1:39" ht="34.9" customHeight="1" x14ac:dyDescent="0.25">
      <c r="A4" s="702" t="s">
        <v>512</v>
      </c>
      <c r="B4" s="718" t="s">
        <v>168</v>
      </c>
      <c r="C4" s="674" t="s">
        <v>531</v>
      </c>
      <c r="D4" s="677" t="s">
        <v>513</v>
      </c>
      <c r="E4" s="127" t="s">
        <v>509</v>
      </c>
      <c r="F4" s="128">
        <v>0</v>
      </c>
      <c r="G4" s="128">
        <v>0</v>
      </c>
      <c r="H4" s="128">
        <v>0</v>
      </c>
      <c r="I4" s="128">
        <v>0</v>
      </c>
      <c r="J4" s="128">
        <v>0</v>
      </c>
      <c r="K4" s="258">
        <v>0.15</v>
      </c>
      <c r="L4" s="258">
        <v>0.7</v>
      </c>
      <c r="M4" s="258">
        <v>0.9</v>
      </c>
      <c r="N4" s="258">
        <v>0.9</v>
      </c>
      <c r="O4" s="128">
        <v>0.9</v>
      </c>
      <c r="P4" s="128">
        <v>0.9</v>
      </c>
      <c r="Q4" s="128">
        <v>0.9</v>
      </c>
      <c r="R4" s="128">
        <v>0.5</v>
      </c>
      <c r="S4" s="128">
        <v>0.85</v>
      </c>
      <c r="T4" s="128">
        <v>0.85</v>
      </c>
      <c r="U4" s="258">
        <v>0.2</v>
      </c>
      <c r="V4" s="258">
        <v>0</v>
      </c>
      <c r="W4" s="128">
        <v>0</v>
      </c>
      <c r="X4" s="128">
        <v>0</v>
      </c>
      <c r="Y4" s="128">
        <v>0</v>
      </c>
      <c r="Z4" s="128">
        <v>0</v>
      </c>
      <c r="AA4" s="128">
        <v>0</v>
      </c>
      <c r="AB4" s="128">
        <v>0</v>
      </c>
      <c r="AC4" s="129">
        <v>0</v>
      </c>
      <c r="AD4" s="49"/>
      <c r="AE4" s="49"/>
      <c r="AF4" s="49"/>
      <c r="AG4" s="49"/>
      <c r="AH4" s="49"/>
      <c r="AI4" s="49"/>
      <c r="AJ4" s="49"/>
      <c r="AK4" s="49"/>
    </row>
    <row r="5" spans="1:39" ht="34.9" customHeight="1" x14ac:dyDescent="0.25">
      <c r="A5" s="690"/>
      <c r="B5" s="693"/>
      <c r="C5" s="675"/>
      <c r="D5" s="672"/>
      <c r="E5" s="462" t="s">
        <v>507</v>
      </c>
      <c r="F5" s="459">
        <f>F4</f>
        <v>0</v>
      </c>
      <c r="G5" s="459">
        <f t="shared" ref="G5:AB5" si="0">G4</f>
        <v>0</v>
      </c>
      <c r="H5" s="459">
        <f t="shared" si="0"/>
        <v>0</v>
      </c>
      <c r="I5" s="459">
        <f t="shared" si="0"/>
        <v>0</v>
      </c>
      <c r="J5" s="459">
        <f t="shared" si="0"/>
        <v>0</v>
      </c>
      <c r="K5" s="459">
        <f t="shared" si="0"/>
        <v>0.15</v>
      </c>
      <c r="L5" s="459">
        <f t="shared" si="0"/>
        <v>0.7</v>
      </c>
      <c r="M5" s="459">
        <f t="shared" si="0"/>
        <v>0.9</v>
      </c>
      <c r="N5" s="459">
        <f t="shared" si="0"/>
        <v>0.9</v>
      </c>
      <c r="O5" s="459">
        <f t="shared" si="0"/>
        <v>0.9</v>
      </c>
      <c r="P5" s="459">
        <f t="shared" si="0"/>
        <v>0.9</v>
      </c>
      <c r="Q5" s="459">
        <f t="shared" si="0"/>
        <v>0.9</v>
      </c>
      <c r="R5" s="459">
        <f t="shared" si="0"/>
        <v>0.5</v>
      </c>
      <c r="S5" s="459">
        <f t="shared" si="0"/>
        <v>0.85</v>
      </c>
      <c r="T5" s="459">
        <f t="shared" si="0"/>
        <v>0.85</v>
      </c>
      <c r="U5" s="459">
        <f t="shared" si="0"/>
        <v>0.2</v>
      </c>
      <c r="V5" s="459">
        <f t="shared" si="0"/>
        <v>0</v>
      </c>
      <c r="W5" s="459">
        <f t="shared" si="0"/>
        <v>0</v>
      </c>
      <c r="X5" s="459">
        <f t="shared" si="0"/>
        <v>0</v>
      </c>
      <c r="Y5" s="459">
        <f t="shared" si="0"/>
        <v>0</v>
      </c>
      <c r="Z5" s="459">
        <f t="shared" si="0"/>
        <v>0</v>
      </c>
      <c r="AA5" s="459">
        <f t="shared" si="0"/>
        <v>0</v>
      </c>
      <c r="AB5" s="459">
        <f t="shared" si="0"/>
        <v>0</v>
      </c>
      <c r="AC5" s="460">
        <f>AC4</f>
        <v>0</v>
      </c>
      <c r="AD5" s="49"/>
      <c r="AE5" s="49"/>
      <c r="AF5" s="49"/>
      <c r="AG5" s="49"/>
      <c r="AH5" s="49"/>
      <c r="AI5" s="49"/>
      <c r="AJ5" s="49"/>
      <c r="AK5" s="49"/>
    </row>
    <row r="6" spans="1:39" ht="34.9" customHeight="1" thickBot="1" x14ac:dyDescent="0.3">
      <c r="A6" s="729"/>
      <c r="B6" s="719"/>
      <c r="C6" s="720"/>
      <c r="D6" s="673"/>
      <c r="E6" s="133" t="s">
        <v>508</v>
      </c>
      <c r="F6" s="134">
        <v>0</v>
      </c>
      <c r="G6" s="134">
        <v>0</v>
      </c>
      <c r="H6" s="134">
        <v>0</v>
      </c>
      <c r="I6" s="134">
        <v>0</v>
      </c>
      <c r="J6" s="134">
        <v>0</v>
      </c>
      <c r="K6" s="134">
        <v>0</v>
      </c>
      <c r="L6" s="134">
        <v>0</v>
      </c>
      <c r="M6" s="134">
        <v>0</v>
      </c>
      <c r="N6" s="134">
        <v>0</v>
      </c>
      <c r="O6" s="134">
        <v>0</v>
      </c>
      <c r="P6" s="134">
        <v>0</v>
      </c>
      <c r="Q6" s="134">
        <v>0</v>
      </c>
      <c r="R6" s="134">
        <v>0</v>
      </c>
      <c r="S6" s="134">
        <v>0</v>
      </c>
      <c r="T6" s="134">
        <v>0</v>
      </c>
      <c r="U6" s="134">
        <v>0</v>
      </c>
      <c r="V6" s="134">
        <v>0</v>
      </c>
      <c r="W6" s="134">
        <v>0</v>
      </c>
      <c r="X6" s="134">
        <v>0</v>
      </c>
      <c r="Y6" s="134">
        <v>0</v>
      </c>
      <c r="Z6" s="134">
        <v>0</v>
      </c>
      <c r="AA6" s="134">
        <v>0</v>
      </c>
      <c r="AB6" s="134">
        <v>0</v>
      </c>
      <c r="AC6" s="135">
        <v>0</v>
      </c>
      <c r="AD6" s="49"/>
      <c r="AE6" s="49"/>
      <c r="AF6" s="49"/>
      <c r="AG6" s="49"/>
      <c r="AH6" s="49"/>
      <c r="AI6" s="49"/>
      <c r="AJ6" s="49"/>
      <c r="AK6" s="49"/>
    </row>
    <row r="7" spans="1:39" ht="37.9" customHeight="1" x14ac:dyDescent="0.25">
      <c r="A7" s="702" t="str">
        <f>A4</f>
        <v>Fine storage</v>
      </c>
      <c r="B7" s="718" t="str">
        <f>B4</f>
        <v>FineStorage</v>
      </c>
      <c r="C7" s="674" t="s">
        <v>514</v>
      </c>
      <c r="D7" s="671" t="s">
        <v>515</v>
      </c>
      <c r="E7" s="127" t="s">
        <v>509</v>
      </c>
      <c r="F7" s="128">
        <v>0.05</v>
      </c>
      <c r="G7" s="128">
        <v>0.05</v>
      </c>
      <c r="H7" s="128">
        <v>0.05</v>
      </c>
      <c r="I7" s="128">
        <v>0.05</v>
      </c>
      <c r="J7" s="128">
        <v>0.05</v>
      </c>
      <c r="K7" s="258">
        <v>0.45</v>
      </c>
      <c r="L7" s="258">
        <v>0.55000000000000004</v>
      </c>
      <c r="M7" s="258">
        <v>0.55000000000000004</v>
      </c>
      <c r="N7" s="128">
        <v>0.55000000000000004</v>
      </c>
      <c r="O7" s="128">
        <v>0.55000000000000004</v>
      </c>
      <c r="P7" s="128">
        <v>0.55000000000000004</v>
      </c>
      <c r="Q7" s="128">
        <v>0.55000000000000004</v>
      </c>
      <c r="R7" s="128">
        <v>0.55000000000000004</v>
      </c>
      <c r="S7" s="128">
        <v>0.55000000000000004</v>
      </c>
      <c r="T7" s="128">
        <v>0.55000000000000004</v>
      </c>
      <c r="U7" s="128">
        <v>0.55000000000000004</v>
      </c>
      <c r="V7" s="258">
        <v>0.3</v>
      </c>
      <c r="W7" s="258">
        <v>0.05</v>
      </c>
      <c r="X7" s="128">
        <v>0.05</v>
      </c>
      <c r="Y7" s="128">
        <v>0.05</v>
      </c>
      <c r="Z7" s="128">
        <v>0.05</v>
      </c>
      <c r="AA7" s="128">
        <v>0.05</v>
      </c>
      <c r="AB7" s="128">
        <v>0.05</v>
      </c>
      <c r="AC7" s="129">
        <v>0.05</v>
      </c>
      <c r="AD7" s="49"/>
      <c r="AE7" s="49"/>
      <c r="AF7" s="49"/>
      <c r="AG7" s="49"/>
      <c r="AH7" s="49"/>
      <c r="AI7" s="49"/>
      <c r="AJ7" s="49"/>
      <c r="AK7" s="49"/>
    </row>
    <row r="8" spans="1:39" ht="37.9" customHeight="1" x14ac:dyDescent="0.25">
      <c r="A8" s="690"/>
      <c r="B8" s="693"/>
      <c r="C8" s="675"/>
      <c r="D8" s="672"/>
      <c r="E8" s="130" t="s">
        <v>507</v>
      </c>
      <c r="F8" s="459">
        <f>F7</f>
        <v>0.05</v>
      </c>
      <c r="G8" s="459">
        <f t="shared" ref="G8:AB8" si="1">G7</f>
        <v>0.05</v>
      </c>
      <c r="H8" s="459">
        <f t="shared" si="1"/>
        <v>0.05</v>
      </c>
      <c r="I8" s="459">
        <f t="shared" si="1"/>
        <v>0.05</v>
      </c>
      <c r="J8" s="459">
        <f t="shared" si="1"/>
        <v>0.05</v>
      </c>
      <c r="K8" s="459">
        <f t="shared" si="1"/>
        <v>0.45</v>
      </c>
      <c r="L8" s="459">
        <f t="shared" si="1"/>
        <v>0.55000000000000004</v>
      </c>
      <c r="M8" s="459">
        <f t="shared" si="1"/>
        <v>0.55000000000000004</v>
      </c>
      <c r="N8" s="459">
        <f t="shared" si="1"/>
        <v>0.55000000000000004</v>
      </c>
      <c r="O8" s="459">
        <f t="shared" si="1"/>
        <v>0.55000000000000004</v>
      </c>
      <c r="P8" s="459">
        <f t="shared" si="1"/>
        <v>0.55000000000000004</v>
      </c>
      <c r="Q8" s="459">
        <f t="shared" si="1"/>
        <v>0.55000000000000004</v>
      </c>
      <c r="R8" s="459">
        <f t="shared" si="1"/>
        <v>0.55000000000000004</v>
      </c>
      <c r="S8" s="459">
        <f t="shared" si="1"/>
        <v>0.55000000000000004</v>
      </c>
      <c r="T8" s="459">
        <f t="shared" si="1"/>
        <v>0.55000000000000004</v>
      </c>
      <c r="U8" s="459">
        <f t="shared" si="1"/>
        <v>0.55000000000000004</v>
      </c>
      <c r="V8" s="459">
        <f t="shared" si="1"/>
        <v>0.3</v>
      </c>
      <c r="W8" s="459">
        <f t="shared" si="1"/>
        <v>0.05</v>
      </c>
      <c r="X8" s="459">
        <f t="shared" si="1"/>
        <v>0.05</v>
      </c>
      <c r="Y8" s="459">
        <f t="shared" si="1"/>
        <v>0.05</v>
      </c>
      <c r="Z8" s="459">
        <f t="shared" si="1"/>
        <v>0.05</v>
      </c>
      <c r="AA8" s="459">
        <f t="shared" si="1"/>
        <v>0.05</v>
      </c>
      <c r="AB8" s="459">
        <f t="shared" si="1"/>
        <v>0.05</v>
      </c>
      <c r="AC8" s="460">
        <f>AC7</f>
        <v>0.05</v>
      </c>
      <c r="AD8" s="49"/>
      <c r="AE8" s="49"/>
      <c r="AF8" s="49"/>
      <c r="AG8" s="49"/>
      <c r="AH8" s="49"/>
      <c r="AI8" s="49"/>
      <c r="AJ8" s="49"/>
      <c r="AK8" s="49"/>
    </row>
    <row r="9" spans="1:39" ht="37.9" customHeight="1" thickBot="1" x14ac:dyDescent="0.3">
      <c r="A9" s="729"/>
      <c r="B9" s="719"/>
      <c r="C9" s="720"/>
      <c r="D9" s="673"/>
      <c r="E9" s="133" t="s">
        <v>508</v>
      </c>
      <c r="F9" s="134">
        <v>0.05</v>
      </c>
      <c r="G9" s="134">
        <v>0.05</v>
      </c>
      <c r="H9" s="134">
        <v>0.05</v>
      </c>
      <c r="I9" s="134">
        <v>0.05</v>
      </c>
      <c r="J9" s="134">
        <v>0.05</v>
      </c>
      <c r="K9" s="134">
        <v>0.05</v>
      </c>
      <c r="L9" s="134">
        <v>0.05</v>
      </c>
      <c r="M9" s="134">
        <v>0.05</v>
      </c>
      <c r="N9" s="134">
        <v>0.05</v>
      </c>
      <c r="O9" s="134">
        <v>0.05</v>
      </c>
      <c r="P9" s="134">
        <v>0.05</v>
      </c>
      <c r="Q9" s="134">
        <v>0.05</v>
      </c>
      <c r="R9" s="134">
        <v>0.05</v>
      </c>
      <c r="S9" s="134">
        <v>0.05</v>
      </c>
      <c r="T9" s="134">
        <v>0.05</v>
      </c>
      <c r="U9" s="134">
        <v>0.05</v>
      </c>
      <c r="V9" s="134">
        <v>0.05</v>
      </c>
      <c r="W9" s="134">
        <v>0.05</v>
      </c>
      <c r="X9" s="134">
        <v>0.05</v>
      </c>
      <c r="Y9" s="134">
        <v>0.05</v>
      </c>
      <c r="Z9" s="134">
        <v>0.05</v>
      </c>
      <c r="AA9" s="134">
        <v>0.05</v>
      </c>
      <c r="AB9" s="134">
        <v>0.05</v>
      </c>
      <c r="AC9" s="135">
        <v>0.05</v>
      </c>
      <c r="AD9" s="49"/>
      <c r="AE9" s="49"/>
      <c r="AF9" s="49"/>
      <c r="AG9" s="49"/>
      <c r="AH9" s="49"/>
      <c r="AI9" s="49"/>
      <c r="AJ9" s="49"/>
      <c r="AK9" s="49"/>
    </row>
    <row r="10" spans="1:39" ht="38.65" customHeight="1" x14ac:dyDescent="0.25">
      <c r="A10" s="689" t="str">
        <f>A4</f>
        <v>Fine storage</v>
      </c>
      <c r="B10" s="692" t="str">
        <f>B4</f>
        <v>FineStorage</v>
      </c>
      <c r="C10" s="695" t="s">
        <v>516</v>
      </c>
      <c r="D10" s="721" t="s">
        <v>517</v>
      </c>
      <c r="E10" s="156" t="s">
        <v>509</v>
      </c>
      <c r="F10" s="265">
        <v>0.05</v>
      </c>
      <c r="G10" s="265">
        <v>0.05</v>
      </c>
      <c r="H10" s="265">
        <v>0.05</v>
      </c>
      <c r="I10" s="265">
        <v>0.05</v>
      </c>
      <c r="J10" s="265">
        <v>0.05</v>
      </c>
      <c r="K10" s="265">
        <v>0.5</v>
      </c>
      <c r="L10" s="265">
        <v>0.9</v>
      </c>
      <c r="M10" s="265">
        <v>0.9</v>
      </c>
      <c r="N10" s="265">
        <v>0.9</v>
      </c>
      <c r="O10" s="265">
        <v>0.9</v>
      </c>
      <c r="P10" s="265">
        <v>0.9</v>
      </c>
      <c r="Q10" s="265">
        <v>0.9</v>
      </c>
      <c r="R10" s="265">
        <v>0.9</v>
      </c>
      <c r="S10" s="265">
        <v>0.9</v>
      </c>
      <c r="T10" s="265">
        <v>0.9</v>
      </c>
      <c r="U10" s="265">
        <v>0.65</v>
      </c>
      <c r="V10" s="265">
        <v>0.25</v>
      </c>
      <c r="W10" s="265">
        <v>0.05</v>
      </c>
      <c r="X10" s="265">
        <v>0.05</v>
      </c>
      <c r="Y10" s="265">
        <v>0.05</v>
      </c>
      <c r="Z10" s="265">
        <v>0.05</v>
      </c>
      <c r="AA10" s="265">
        <v>0.05</v>
      </c>
      <c r="AB10" s="265">
        <v>0.05</v>
      </c>
      <c r="AC10" s="264">
        <v>0.05</v>
      </c>
      <c r="AD10" s="49"/>
      <c r="AE10" s="49"/>
      <c r="AF10" s="49"/>
      <c r="AG10" s="49"/>
      <c r="AH10" s="49"/>
      <c r="AI10" s="49"/>
      <c r="AJ10" s="49"/>
      <c r="AK10" s="49"/>
      <c r="AM10" s="59"/>
    </row>
    <row r="11" spans="1:39" ht="38.65" customHeight="1" x14ac:dyDescent="0.25">
      <c r="A11" s="690"/>
      <c r="B11" s="693"/>
      <c r="C11" s="696"/>
      <c r="D11" s="722"/>
      <c r="E11" s="130" t="s">
        <v>507</v>
      </c>
      <c r="F11" s="459">
        <f>F10</f>
        <v>0.05</v>
      </c>
      <c r="G11" s="459">
        <f t="shared" ref="G11:AB11" si="2">G10</f>
        <v>0.05</v>
      </c>
      <c r="H11" s="459">
        <f t="shared" si="2"/>
        <v>0.05</v>
      </c>
      <c r="I11" s="459">
        <f t="shared" si="2"/>
        <v>0.05</v>
      </c>
      <c r="J11" s="459">
        <f t="shared" si="2"/>
        <v>0.05</v>
      </c>
      <c r="K11" s="459">
        <f t="shared" si="2"/>
        <v>0.5</v>
      </c>
      <c r="L11" s="459">
        <f t="shared" si="2"/>
        <v>0.9</v>
      </c>
      <c r="M11" s="459">
        <f t="shared" si="2"/>
        <v>0.9</v>
      </c>
      <c r="N11" s="459">
        <f t="shared" si="2"/>
        <v>0.9</v>
      </c>
      <c r="O11" s="459">
        <f t="shared" si="2"/>
        <v>0.9</v>
      </c>
      <c r="P11" s="459">
        <f t="shared" si="2"/>
        <v>0.9</v>
      </c>
      <c r="Q11" s="459">
        <f t="shared" si="2"/>
        <v>0.9</v>
      </c>
      <c r="R11" s="459">
        <f t="shared" si="2"/>
        <v>0.9</v>
      </c>
      <c r="S11" s="459">
        <f t="shared" si="2"/>
        <v>0.9</v>
      </c>
      <c r="T11" s="459">
        <f t="shared" si="2"/>
        <v>0.9</v>
      </c>
      <c r="U11" s="459">
        <f t="shared" si="2"/>
        <v>0.65</v>
      </c>
      <c r="V11" s="459">
        <f t="shared" si="2"/>
        <v>0.25</v>
      </c>
      <c r="W11" s="459">
        <f t="shared" si="2"/>
        <v>0.05</v>
      </c>
      <c r="X11" s="459">
        <f t="shared" si="2"/>
        <v>0.05</v>
      </c>
      <c r="Y11" s="459">
        <f t="shared" si="2"/>
        <v>0.05</v>
      </c>
      <c r="Z11" s="459">
        <f t="shared" si="2"/>
        <v>0.05</v>
      </c>
      <c r="AA11" s="459">
        <f t="shared" si="2"/>
        <v>0.05</v>
      </c>
      <c r="AB11" s="459">
        <f t="shared" si="2"/>
        <v>0.05</v>
      </c>
      <c r="AC11" s="461">
        <f>AC10</f>
        <v>0.05</v>
      </c>
      <c r="AD11" s="49"/>
      <c r="AE11" s="49"/>
      <c r="AF11" s="49"/>
      <c r="AG11" s="49"/>
      <c r="AH11" s="49"/>
      <c r="AI11" s="49"/>
      <c r="AJ11" s="49"/>
      <c r="AK11" s="49"/>
      <c r="AM11" s="59"/>
    </row>
    <row r="12" spans="1:39" ht="38.65" customHeight="1" thickBot="1" x14ac:dyDescent="0.3">
      <c r="A12" s="691"/>
      <c r="B12" s="694"/>
      <c r="C12" s="697"/>
      <c r="D12" s="723"/>
      <c r="E12" s="157" t="s">
        <v>508</v>
      </c>
      <c r="F12" s="158">
        <v>0.05</v>
      </c>
      <c r="G12" s="158">
        <v>0.05</v>
      </c>
      <c r="H12" s="158">
        <v>0.05</v>
      </c>
      <c r="I12" s="158">
        <v>0.05</v>
      </c>
      <c r="J12" s="158">
        <v>0.05</v>
      </c>
      <c r="K12" s="158">
        <v>0.05</v>
      </c>
      <c r="L12" s="158">
        <v>0.05</v>
      </c>
      <c r="M12" s="158">
        <v>0.05</v>
      </c>
      <c r="N12" s="158">
        <v>0.05</v>
      </c>
      <c r="O12" s="158">
        <v>0.05</v>
      </c>
      <c r="P12" s="158">
        <v>0.05</v>
      </c>
      <c r="Q12" s="158">
        <v>0.05</v>
      </c>
      <c r="R12" s="158">
        <v>0.05</v>
      </c>
      <c r="S12" s="158">
        <v>0.05</v>
      </c>
      <c r="T12" s="158">
        <v>0.05</v>
      </c>
      <c r="U12" s="158">
        <v>0.05</v>
      </c>
      <c r="V12" s="158">
        <v>0.05</v>
      </c>
      <c r="W12" s="158">
        <v>0.05</v>
      </c>
      <c r="X12" s="158">
        <v>0.05</v>
      </c>
      <c r="Y12" s="158">
        <v>0.05</v>
      </c>
      <c r="Z12" s="158">
        <v>0.05</v>
      </c>
      <c r="AA12" s="158">
        <v>0.05</v>
      </c>
      <c r="AB12" s="158">
        <v>0.05</v>
      </c>
      <c r="AC12" s="159">
        <v>0.05</v>
      </c>
      <c r="AD12" s="49"/>
      <c r="AE12" s="49"/>
      <c r="AF12" s="49"/>
      <c r="AG12" s="49"/>
      <c r="AH12" s="49"/>
      <c r="AI12" s="49"/>
      <c r="AJ12" s="49"/>
      <c r="AK12" s="49"/>
      <c r="AM12" s="59"/>
    </row>
    <row r="13" spans="1:39" ht="38.450000000000003" customHeight="1" x14ac:dyDescent="0.25">
      <c r="A13" s="689" t="str">
        <f>A4</f>
        <v>Fine storage</v>
      </c>
      <c r="B13" s="701" t="str">
        <f>B4</f>
        <v>FineStorage</v>
      </c>
      <c r="C13" s="701" t="s">
        <v>518</v>
      </c>
      <c r="D13" s="671" t="s">
        <v>519</v>
      </c>
      <c r="E13" s="139" t="s">
        <v>509</v>
      </c>
      <c r="F13" s="140">
        <v>0</v>
      </c>
      <c r="G13" s="140">
        <v>0</v>
      </c>
      <c r="H13" s="140">
        <v>0</v>
      </c>
      <c r="I13" s="140">
        <v>0</v>
      </c>
      <c r="J13" s="256">
        <v>1</v>
      </c>
      <c r="K13" s="256">
        <v>1</v>
      </c>
      <c r="L13" s="140">
        <v>1</v>
      </c>
      <c r="M13" s="140">
        <v>1</v>
      </c>
      <c r="N13" s="140">
        <v>1</v>
      </c>
      <c r="O13" s="140">
        <v>1</v>
      </c>
      <c r="P13" s="140">
        <v>1</v>
      </c>
      <c r="Q13" s="140">
        <v>1</v>
      </c>
      <c r="R13" s="140">
        <v>1</v>
      </c>
      <c r="S13" s="140">
        <v>1</v>
      </c>
      <c r="T13" s="140">
        <v>1</v>
      </c>
      <c r="U13" s="140">
        <v>1</v>
      </c>
      <c r="V13" s="256">
        <v>0</v>
      </c>
      <c r="W13" s="140">
        <v>0</v>
      </c>
      <c r="X13" s="140">
        <v>0</v>
      </c>
      <c r="Y13" s="140">
        <v>0</v>
      </c>
      <c r="Z13" s="140">
        <v>0</v>
      </c>
      <c r="AA13" s="140">
        <v>0</v>
      </c>
      <c r="AB13" s="140">
        <v>0</v>
      </c>
      <c r="AC13" s="141">
        <v>0</v>
      </c>
      <c r="AD13" s="49"/>
      <c r="AE13" s="49"/>
      <c r="AF13" s="49"/>
      <c r="AG13" s="49"/>
      <c r="AH13" s="49"/>
      <c r="AI13" s="49"/>
      <c r="AJ13" s="49"/>
      <c r="AK13" s="49"/>
      <c r="AM13" s="59"/>
    </row>
    <row r="14" spans="1:39" ht="38.65" customHeight="1" x14ac:dyDescent="0.25">
      <c r="A14" s="690"/>
      <c r="B14" s="675"/>
      <c r="C14" s="675"/>
      <c r="D14" s="672"/>
      <c r="E14" s="130" t="s">
        <v>507</v>
      </c>
      <c r="F14" s="459">
        <f>F13</f>
        <v>0</v>
      </c>
      <c r="G14" s="459">
        <f t="shared" ref="G14:AB14" si="3">G13</f>
        <v>0</v>
      </c>
      <c r="H14" s="459">
        <f t="shared" si="3"/>
        <v>0</v>
      </c>
      <c r="I14" s="459">
        <f t="shared" si="3"/>
        <v>0</v>
      </c>
      <c r="J14" s="459">
        <f t="shared" si="3"/>
        <v>1</v>
      </c>
      <c r="K14" s="459">
        <f t="shared" si="3"/>
        <v>1</v>
      </c>
      <c r="L14" s="459">
        <f t="shared" si="3"/>
        <v>1</v>
      </c>
      <c r="M14" s="459">
        <f t="shared" si="3"/>
        <v>1</v>
      </c>
      <c r="N14" s="459">
        <f t="shared" si="3"/>
        <v>1</v>
      </c>
      <c r="O14" s="459">
        <f t="shared" si="3"/>
        <v>1</v>
      </c>
      <c r="P14" s="459">
        <f t="shared" si="3"/>
        <v>1</v>
      </c>
      <c r="Q14" s="459">
        <f t="shared" si="3"/>
        <v>1</v>
      </c>
      <c r="R14" s="459">
        <f t="shared" si="3"/>
        <v>1</v>
      </c>
      <c r="S14" s="459">
        <f t="shared" si="3"/>
        <v>1</v>
      </c>
      <c r="T14" s="459">
        <f t="shared" si="3"/>
        <v>1</v>
      </c>
      <c r="U14" s="459">
        <f t="shared" si="3"/>
        <v>1</v>
      </c>
      <c r="V14" s="459">
        <f t="shared" si="3"/>
        <v>0</v>
      </c>
      <c r="W14" s="459">
        <f t="shared" si="3"/>
        <v>0</v>
      </c>
      <c r="X14" s="459">
        <f t="shared" si="3"/>
        <v>0</v>
      </c>
      <c r="Y14" s="459">
        <f t="shared" si="3"/>
        <v>0</v>
      </c>
      <c r="Z14" s="459">
        <f t="shared" si="3"/>
        <v>0</v>
      </c>
      <c r="AA14" s="459">
        <f t="shared" si="3"/>
        <v>0</v>
      </c>
      <c r="AB14" s="459">
        <f t="shared" si="3"/>
        <v>0</v>
      </c>
      <c r="AC14" s="460">
        <f>AC13</f>
        <v>0</v>
      </c>
      <c r="AD14" s="49"/>
      <c r="AE14" s="49"/>
      <c r="AF14" s="49"/>
      <c r="AG14" s="49"/>
      <c r="AH14" s="49"/>
      <c r="AI14" s="49"/>
      <c r="AJ14" s="49"/>
      <c r="AK14" s="49"/>
      <c r="AM14" s="59"/>
    </row>
    <row r="15" spans="1:39" ht="38.450000000000003" customHeight="1" thickBot="1" x14ac:dyDescent="0.3">
      <c r="A15" s="691"/>
      <c r="B15" s="676"/>
      <c r="C15" s="676"/>
      <c r="D15" s="673"/>
      <c r="E15" s="136" t="s">
        <v>508</v>
      </c>
      <c r="F15" s="137">
        <v>0</v>
      </c>
      <c r="G15" s="137">
        <v>0</v>
      </c>
      <c r="H15" s="137">
        <v>0</v>
      </c>
      <c r="I15" s="137">
        <v>0</v>
      </c>
      <c r="J15" s="137">
        <v>0</v>
      </c>
      <c r="K15" s="137">
        <v>0</v>
      </c>
      <c r="L15" s="137">
        <v>0</v>
      </c>
      <c r="M15" s="137">
        <v>0</v>
      </c>
      <c r="N15" s="137">
        <v>0</v>
      </c>
      <c r="O15" s="137">
        <v>0</v>
      </c>
      <c r="P15" s="137">
        <v>0</v>
      </c>
      <c r="Q15" s="137">
        <v>0</v>
      </c>
      <c r="R15" s="137">
        <v>0</v>
      </c>
      <c r="S15" s="137">
        <v>0</v>
      </c>
      <c r="T15" s="137">
        <v>0</v>
      </c>
      <c r="U15" s="137">
        <v>0</v>
      </c>
      <c r="V15" s="137">
        <v>0</v>
      </c>
      <c r="W15" s="137">
        <v>0</v>
      </c>
      <c r="X15" s="137">
        <v>0</v>
      </c>
      <c r="Y15" s="137">
        <v>0</v>
      </c>
      <c r="Z15" s="137">
        <v>0</v>
      </c>
      <c r="AA15" s="137">
        <v>0</v>
      </c>
      <c r="AB15" s="137">
        <v>0</v>
      </c>
      <c r="AC15" s="138">
        <v>0</v>
      </c>
      <c r="AD15" s="49"/>
      <c r="AE15" s="49"/>
      <c r="AF15" s="49"/>
      <c r="AG15" s="49"/>
      <c r="AH15" s="49"/>
      <c r="AI15" s="49"/>
      <c r="AJ15" s="49"/>
      <c r="AK15" s="49"/>
      <c r="AM15" s="59"/>
    </row>
    <row r="16" spans="1:39" ht="38.65" customHeight="1" x14ac:dyDescent="0.25">
      <c r="A16" s="689" t="str">
        <f>A4</f>
        <v>Fine storage</v>
      </c>
      <c r="B16" s="701" t="str">
        <f>B4</f>
        <v>FineStorage</v>
      </c>
      <c r="C16" s="701" t="s">
        <v>520</v>
      </c>
      <c r="D16" s="671" t="s">
        <v>515</v>
      </c>
      <c r="E16" s="139" t="s">
        <v>509</v>
      </c>
      <c r="F16" s="140">
        <v>0.02</v>
      </c>
      <c r="G16" s="140">
        <v>0.02</v>
      </c>
      <c r="H16" s="140">
        <v>0.02</v>
      </c>
      <c r="I16" s="256">
        <v>0.05</v>
      </c>
      <c r="J16" s="256">
        <v>7.0000000000000007E-2</v>
      </c>
      <c r="K16" s="256">
        <v>0.1</v>
      </c>
      <c r="L16" s="256">
        <v>0.3</v>
      </c>
      <c r="M16" s="256">
        <v>0.36</v>
      </c>
      <c r="N16" s="256">
        <v>0.36</v>
      </c>
      <c r="O16" s="140">
        <v>0.36</v>
      </c>
      <c r="P16" s="140">
        <v>0.36</v>
      </c>
      <c r="Q16" s="140">
        <v>0.46</v>
      </c>
      <c r="R16" s="140">
        <v>0.56999999999999995</v>
      </c>
      <c r="S16" s="140">
        <v>0.43</v>
      </c>
      <c r="T16" s="256">
        <v>0.4</v>
      </c>
      <c r="U16" s="256">
        <v>0.3</v>
      </c>
      <c r="V16" s="256">
        <v>0.18</v>
      </c>
      <c r="W16" s="140">
        <v>0.18</v>
      </c>
      <c r="X16" s="140">
        <v>0.03</v>
      </c>
      <c r="Y16" s="140">
        <v>0.03</v>
      </c>
      <c r="Z16" s="140">
        <v>0.03</v>
      </c>
      <c r="AA16" s="140">
        <v>0.03</v>
      </c>
      <c r="AB16" s="140">
        <v>0.03</v>
      </c>
      <c r="AC16" s="141">
        <v>0.03</v>
      </c>
      <c r="AD16" s="49"/>
      <c r="AE16" s="49"/>
      <c r="AF16" s="49"/>
      <c r="AG16" s="49"/>
      <c r="AH16" s="49"/>
      <c r="AI16" s="49"/>
      <c r="AJ16" s="49"/>
      <c r="AK16" s="49"/>
      <c r="AM16" s="59"/>
    </row>
    <row r="17" spans="1:39" ht="38.65" customHeight="1" x14ac:dyDescent="0.25">
      <c r="A17" s="690"/>
      <c r="B17" s="675"/>
      <c r="C17" s="675"/>
      <c r="D17" s="672"/>
      <c r="E17" s="130" t="s">
        <v>507</v>
      </c>
      <c r="F17" s="459">
        <f>F16</f>
        <v>0.02</v>
      </c>
      <c r="G17" s="459">
        <f t="shared" ref="G17:AB17" si="4">G16</f>
        <v>0.02</v>
      </c>
      <c r="H17" s="459">
        <f t="shared" si="4"/>
        <v>0.02</v>
      </c>
      <c r="I17" s="459">
        <f t="shared" si="4"/>
        <v>0.05</v>
      </c>
      <c r="J17" s="459">
        <f t="shared" si="4"/>
        <v>7.0000000000000007E-2</v>
      </c>
      <c r="K17" s="459">
        <f t="shared" si="4"/>
        <v>0.1</v>
      </c>
      <c r="L17" s="459">
        <f t="shared" si="4"/>
        <v>0.3</v>
      </c>
      <c r="M17" s="459">
        <f t="shared" si="4"/>
        <v>0.36</v>
      </c>
      <c r="N17" s="459">
        <f t="shared" si="4"/>
        <v>0.36</v>
      </c>
      <c r="O17" s="459">
        <f t="shared" si="4"/>
        <v>0.36</v>
      </c>
      <c r="P17" s="459">
        <f t="shared" si="4"/>
        <v>0.36</v>
      </c>
      <c r="Q17" s="459">
        <f t="shared" si="4"/>
        <v>0.46</v>
      </c>
      <c r="R17" s="459">
        <f t="shared" si="4"/>
        <v>0.56999999999999995</v>
      </c>
      <c r="S17" s="459">
        <f t="shared" si="4"/>
        <v>0.43</v>
      </c>
      <c r="T17" s="459">
        <f t="shared" si="4"/>
        <v>0.4</v>
      </c>
      <c r="U17" s="459">
        <f t="shared" si="4"/>
        <v>0.3</v>
      </c>
      <c r="V17" s="459">
        <f t="shared" si="4"/>
        <v>0.18</v>
      </c>
      <c r="W17" s="459">
        <f t="shared" si="4"/>
        <v>0.18</v>
      </c>
      <c r="X17" s="459">
        <f t="shared" si="4"/>
        <v>0.03</v>
      </c>
      <c r="Y17" s="459">
        <f t="shared" si="4"/>
        <v>0.03</v>
      </c>
      <c r="Z17" s="459">
        <f t="shared" si="4"/>
        <v>0.03</v>
      </c>
      <c r="AA17" s="459">
        <f t="shared" si="4"/>
        <v>0.03</v>
      </c>
      <c r="AB17" s="459">
        <f t="shared" si="4"/>
        <v>0.03</v>
      </c>
      <c r="AC17" s="460">
        <f>AC16</f>
        <v>0.03</v>
      </c>
      <c r="AD17" s="49"/>
      <c r="AE17" s="49"/>
      <c r="AF17" s="49"/>
      <c r="AG17" s="49"/>
      <c r="AH17" s="49"/>
      <c r="AI17" s="49"/>
      <c r="AJ17" s="49"/>
      <c r="AK17" s="49"/>
      <c r="AM17" s="59"/>
    </row>
    <row r="18" spans="1:39" ht="38.65" customHeight="1" thickBot="1" x14ac:dyDescent="0.3">
      <c r="A18" s="691"/>
      <c r="B18" s="720"/>
      <c r="C18" s="720"/>
      <c r="D18" s="673"/>
      <c r="E18" s="133" t="s">
        <v>508</v>
      </c>
      <c r="F18" s="134">
        <v>0.02</v>
      </c>
      <c r="G18" s="134">
        <v>0.02</v>
      </c>
      <c r="H18" s="134">
        <v>0.02</v>
      </c>
      <c r="I18" s="134">
        <v>0.02</v>
      </c>
      <c r="J18" s="134">
        <v>0.02</v>
      </c>
      <c r="K18" s="134">
        <v>0.02</v>
      </c>
      <c r="L18" s="134">
        <v>0.02</v>
      </c>
      <c r="M18" s="134">
        <v>0.02</v>
      </c>
      <c r="N18" s="134">
        <v>0.02</v>
      </c>
      <c r="O18" s="134">
        <v>0.02</v>
      </c>
      <c r="P18" s="134">
        <v>0.02</v>
      </c>
      <c r="Q18" s="134">
        <v>0.02</v>
      </c>
      <c r="R18" s="134">
        <v>0.04</v>
      </c>
      <c r="S18" s="134">
        <v>0.04</v>
      </c>
      <c r="T18" s="134">
        <v>0.02</v>
      </c>
      <c r="U18" s="134">
        <v>0.02</v>
      </c>
      <c r="V18" s="134">
        <v>0.02</v>
      </c>
      <c r="W18" s="134">
        <v>0.02</v>
      </c>
      <c r="X18" s="134">
        <v>0.02</v>
      </c>
      <c r="Y18" s="134">
        <v>0.02</v>
      </c>
      <c r="Z18" s="134">
        <v>0.02</v>
      </c>
      <c r="AA18" s="134">
        <v>0.02</v>
      </c>
      <c r="AB18" s="134">
        <v>0.02</v>
      </c>
      <c r="AC18" s="135">
        <v>0.02</v>
      </c>
      <c r="AD18" s="49"/>
      <c r="AE18" s="49"/>
      <c r="AF18" s="49"/>
      <c r="AG18" s="49"/>
      <c r="AH18" s="49"/>
      <c r="AI18" s="49"/>
      <c r="AJ18" s="49"/>
      <c r="AK18" s="49"/>
      <c r="AM18" s="59"/>
    </row>
    <row r="19" spans="1:39" ht="38.65" customHeight="1" x14ac:dyDescent="0.25">
      <c r="A19" s="689" t="str">
        <f>A4</f>
        <v>Fine storage</v>
      </c>
      <c r="B19" s="674" t="str">
        <f>B4</f>
        <v>FineStorage</v>
      </c>
      <c r="C19" s="674" t="s">
        <v>235</v>
      </c>
      <c r="D19" s="671"/>
      <c r="E19" s="127" t="s">
        <v>509</v>
      </c>
      <c r="F19" s="128">
        <v>1</v>
      </c>
      <c r="G19" s="128">
        <v>1</v>
      </c>
      <c r="H19" s="128">
        <v>1</v>
      </c>
      <c r="I19" s="128">
        <v>1</v>
      </c>
      <c r="J19" s="128">
        <v>1</v>
      </c>
      <c r="K19" s="128">
        <v>1</v>
      </c>
      <c r="L19" s="128">
        <v>1</v>
      </c>
      <c r="M19" s="128">
        <v>1</v>
      </c>
      <c r="N19" s="128">
        <v>1</v>
      </c>
      <c r="O19" s="128">
        <v>1</v>
      </c>
      <c r="P19" s="128">
        <v>1</v>
      </c>
      <c r="Q19" s="128">
        <v>1</v>
      </c>
      <c r="R19" s="128">
        <v>1</v>
      </c>
      <c r="S19" s="128">
        <v>1</v>
      </c>
      <c r="T19" s="128">
        <v>1</v>
      </c>
      <c r="U19" s="128">
        <v>1</v>
      </c>
      <c r="V19" s="128">
        <v>1</v>
      </c>
      <c r="W19" s="128">
        <v>1</v>
      </c>
      <c r="X19" s="128">
        <v>1</v>
      </c>
      <c r="Y19" s="128">
        <v>1</v>
      </c>
      <c r="Z19" s="128">
        <v>1</v>
      </c>
      <c r="AA19" s="128">
        <v>1</v>
      </c>
      <c r="AB19" s="128">
        <v>1</v>
      </c>
      <c r="AC19" s="129">
        <v>1</v>
      </c>
      <c r="AD19" s="49"/>
      <c r="AE19" s="49"/>
      <c r="AF19" s="49"/>
      <c r="AG19" s="49"/>
      <c r="AH19" s="49"/>
      <c r="AI19" s="49"/>
      <c r="AJ19" s="49"/>
      <c r="AK19" s="49"/>
      <c r="AM19" s="59"/>
    </row>
    <row r="20" spans="1:39" ht="38.65" customHeight="1" x14ac:dyDescent="0.25">
      <c r="A20" s="690"/>
      <c r="B20" s="675"/>
      <c r="C20" s="675"/>
      <c r="D20" s="672"/>
      <c r="E20" s="130" t="s">
        <v>507</v>
      </c>
      <c r="F20" s="131">
        <v>1</v>
      </c>
      <c r="G20" s="131">
        <v>1</v>
      </c>
      <c r="H20" s="131">
        <v>1</v>
      </c>
      <c r="I20" s="131">
        <v>1</v>
      </c>
      <c r="J20" s="131">
        <v>1</v>
      </c>
      <c r="K20" s="131">
        <v>1</v>
      </c>
      <c r="L20" s="131">
        <v>1</v>
      </c>
      <c r="M20" s="131">
        <v>1</v>
      </c>
      <c r="N20" s="131">
        <v>1</v>
      </c>
      <c r="O20" s="131">
        <v>1</v>
      </c>
      <c r="P20" s="131">
        <v>1</v>
      </c>
      <c r="Q20" s="131">
        <v>1</v>
      </c>
      <c r="R20" s="131">
        <v>1</v>
      </c>
      <c r="S20" s="131">
        <v>1</v>
      </c>
      <c r="T20" s="131">
        <v>1</v>
      </c>
      <c r="U20" s="131">
        <v>1</v>
      </c>
      <c r="V20" s="131">
        <v>1</v>
      </c>
      <c r="W20" s="131">
        <v>1</v>
      </c>
      <c r="X20" s="131">
        <v>1</v>
      </c>
      <c r="Y20" s="131">
        <v>1</v>
      </c>
      <c r="Z20" s="131">
        <v>1</v>
      </c>
      <c r="AA20" s="131">
        <v>1</v>
      </c>
      <c r="AB20" s="131">
        <v>1</v>
      </c>
      <c r="AC20" s="132">
        <v>1</v>
      </c>
      <c r="AD20" s="49"/>
      <c r="AE20" s="49"/>
      <c r="AF20" s="49"/>
      <c r="AG20" s="49"/>
      <c r="AH20" s="49"/>
      <c r="AI20" s="49"/>
      <c r="AJ20" s="49"/>
      <c r="AK20" s="49"/>
      <c r="AM20" s="59"/>
    </row>
    <row r="21" spans="1:39" ht="38.65" customHeight="1" thickBot="1" x14ac:dyDescent="0.3">
      <c r="A21" s="691"/>
      <c r="B21" s="676"/>
      <c r="C21" s="676"/>
      <c r="D21" s="673"/>
      <c r="E21" s="136" t="s">
        <v>508</v>
      </c>
      <c r="F21" s="137">
        <v>1</v>
      </c>
      <c r="G21" s="137">
        <v>1</v>
      </c>
      <c r="H21" s="137">
        <v>1</v>
      </c>
      <c r="I21" s="137">
        <v>1</v>
      </c>
      <c r="J21" s="137">
        <v>1</v>
      </c>
      <c r="K21" s="137">
        <v>1</v>
      </c>
      <c r="L21" s="137">
        <v>1</v>
      </c>
      <c r="M21" s="137">
        <v>1</v>
      </c>
      <c r="N21" s="137">
        <v>1</v>
      </c>
      <c r="O21" s="137">
        <v>1</v>
      </c>
      <c r="P21" s="137">
        <v>1</v>
      </c>
      <c r="Q21" s="137">
        <v>1</v>
      </c>
      <c r="R21" s="137">
        <v>1</v>
      </c>
      <c r="S21" s="137">
        <v>1</v>
      </c>
      <c r="T21" s="137">
        <v>1</v>
      </c>
      <c r="U21" s="137">
        <v>1</v>
      </c>
      <c r="V21" s="137">
        <v>1</v>
      </c>
      <c r="W21" s="137">
        <v>1</v>
      </c>
      <c r="X21" s="137">
        <v>1</v>
      </c>
      <c r="Y21" s="137">
        <v>1</v>
      </c>
      <c r="Z21" s="137">
        <v>1</v>
      </c>
      <c r="AA21" s="137">
        <v>1</v>
      </c>
      <c r="AB21" s="137">
        <v>1</v>
      </c>
      <c r="AC21" s="138">
        <v>1</v>
      </c>
      <c r="AD21" s="49"/>
      <c r="AE21" s="49"/>
      <c r="AF21" s="49"/>
      <c r="AG21" s="49"/>
      <c r="AH21" s="49"/>
      <c r="AI21" s="49"/>
      <c r="AJ21" s="49"/>
      <c r="AK21" s="49"/>
      <c r="AM21" s="59"/>
    </row>
    <row r="22" spans="1:39" ht="38.65" customHeight="1" x14ac:dyDescent="0.25">
      <c r="A22" s="689" t="str">
        <f>A4</f>
        <v>Fine storage</v>
      </c>
      <c r="B22" s="701" t="str">
        <f>B4</f>
        <v>FineStorage</v>
      </c>
      <c r="C22" s="704" t="s">
        <v>521</v>
      </c>
      <c r="D22" s="677" t="s">
        <v>522</v>
      </c>
      <c r="E22" s="127" t="s">
        <v>509</v>
      </c>
      <c r="F22" s="388">
        <f>IF(F13=1,Thermostat!$C$7,Thermostat!$C$8)</f>
        <v>60</v>
      </c>
      <c r="G22" s="388">
        <f>IF(G13=1,Thermostat!$C$7,Thermostat!$C$8)</f>
        <v>60</v>
      </c>
      <c r="H22" s="388">
        <f>IF(H13=1,Thermostat!$C$7,Thermostat!$C$8)</f>
        <v>60</v>
      </c>
      <c r="I22" s="388">
        <f>IF(I13=1,Thermostat!$C$7,Thermostat!$C$8)</f>
        <v>60</v>
      </c>
      <c r="J22" s="388">
        <f>IF(J13=1,Thermostat!$C$7,Thermostat!$C$8)</f>
        <v>70</v>
      </c>
      <c r="K22" s="388">
        <f>IF(K13=1,Thermostat!$C$7,Thermostat!$C$8)</f>
        <v>70</v>
      </c>
      <c r="L22" s="388">
        <f>IF(L13=1,Thermostat!$C$7,Thermostat!$C$8)</f>
        <v>70</v>
      </c>
      <c r="M22" s="388">
        <f>IF(M13=1,Thermostat!$C$7,Thermostat!$C$8)</f>
        <v>70</v>
      </c>
      <c r="N22" s="388">
        <f>IF(N13=1,Thermostat!$C$7,Thermostat!$C$8)</f>
        <v>70</v>
      </c>
      <c r="O22" s="388">
        <f>IF(O13=1,Thermostat!$C$7,Thermostat!$C$8)</f>
        <v>70</v>
      </c>
      <c r="P22" s="388">
        <f>IF(P13=1,Thermostat!$C$7,Thermostat!$C$8)</f>
        <v>70</v>
      </c>
      <c r="Q22" s="388">
        <f>IF(Q13=1,Thermostat!$C$7,Thermostat!$C$8)</f>
        <v>70</v>
      </c>
      <c r="R22" s="388">
        <f>IF(R13=1,Thermostat!$C$7,Thermostat!$C$8)</f>
        <v>70</v>
      </c>
      <c r="S22" s="388">
        <f>IF(S13=1,Thermostat!$C$7,Thermostat!$C$8)</f>
        <v>70</v>
      </c>
      <c r="T22" s="388">
        <f>IF(T13=1,Thermostat!$C$7,Thermostat!$C$8)</f>
        <v>70</v>
      </c>
      <c r="U22" s="388">
        <f>IF(U13=1,Thermostat!$C$7,Thermostat!$C$8)</f>
        <v>70</v>
      </c>
      <c r="V22" s="388">
        <f>IF(V13=1,Thermostat!$C$7,Thermostat!$C$8)</f>
        <v>60</v>
      </c>
      <c r="W22" s="388">
        <f>IF(W13=1,Thermostat!$C$7,Thermostat!$C$8)</f>
        <v>60</v>
      </c>
      <c r="X22" s="388">
        <f>IF(X13=1,Thermostat!$C$7,Thermostat!$C$8)</f>
        <v>60</v>
      </c>
      <c r="Y22" s="388">
        <f>IF(Y13=1,Thermostat!$C$7,Thermostat!$C$8)</f>
        <v>60</v>
      </c>
      <c r="Z22" s="388">
        <f>IF(Z13=1,Thermostat!$C$7,Thermostat!$C$8)</f>
        <v>60</v>
      </c>
      <c r="AA22" s="388">
        <f>IF(AA13=1,Thermostat!$C$7,Thermostat!$C$8)</f>
        <v>60</v>
      </c>
      <c r="AB22" s="388">
        <f>IF(AB13=1,Thermostat!$C$7,Thermostat!$C$8)</f>
        <v>60</v>
      </c>
      <c r="AC22" s="389">
        <f>IF(AC13=1,Thermostat!$C$7,Thermostat!$C$8)</f>
        <v>60</v>
      </c>
      <c r="AD22" s="49"/>
      <c r="AE22" s="49"/>
      <c r="AF22" s="49"/>
      <c r="AG22" s="49"/>
      <c r="AH22" s="49"/>
      <c r="AI22" s="49"/>
      <c r="AJ22" s="49"/>
      <c r="AK22" s="49"/>
      <c r="AM22" s="59"/>
    </row>
    <row r="23" spans="1:39" ht="38.65" customHeight="1" x14ac:dyDescent="0.25">
      <c r="A23" s="690"/>
      <c r="B23" s="675"/>
      <c r="C23" s="705"/>
      <c r="D23" s="672"/>
      <c r="E23" s="130" t="s">
        <v>507</v>
      </c>
      <c r="F23" s="390">
        <f>IF(F14=1,Thermostat!$C$7,Thermostat!$C$8)</f>
        <v>60</v>
      </c>
      <c r="G23" s="390">
        <f>IF(G14=1,Thermostat!$C$7,Thermostat!$C$8)</f>
        <v>60</v>
      </c>
      <c r="H23" s="390">
        <f>IF(H14=1,Thermostat!$C$7,Thermostat!$C$8)</f>
        <v>60</v>
      </c>
      <c r="I23" s="390">
        <f>IF(I14=1,Thermostat!$C$7,Thermostat!$C$8)</f>
        <v>60</v>
      </c>
      <c r="J23" s="390">
        <f>IF(J14=1,Thermostat!$C$7,Thermostat!$C$8)</f>
        <v>70</v>
      </c>
      <c r="K23" s="390">
        <f>IF(K14=1,Thermostat!$C$7,Thermostat!$C$8)</f>
        <v>70</v>
      </c>
      <c r="L23" s="390">
        <f>IF(L14=1,Thermostat!$C$7,Thermostat!$C$8)</f>
        <v>70</v>
      </c>
      <c r="M23" s="390">
        <f>IF(M14=1,Thermostat!$C$7,Thermostat!$C$8)</f>
        <v>70</v>
      </c>
      <c r="N23" s="390">
        <f>IF(N14=1,Thermostat!$C$7,Thermostat!$C$8)</f>
        <v>70</v>
      </c>
      <c r="O23" s="390">
        <f>IF(O14=1,Thermostat!$C$7,Thermostat!$C$8)</f>
        <v>70</v>
      </c>
      <c r="P23" s="390">
        <f>IF(P14=1,Thermostat!$C$7,Thermostat!$C$8)</f>
        <v>70</v>
      </c>
      <c r="Q23" s="390">
        <f>IF(Q14=1,Thermostat!$C$7,Thermostat!$C$8)</f>
        <v>70</v>
      </c>
      <c r="R23" s="390">
        <f>IF(R14=1,Thermostat!$C$7,Thermostat!$C$8)</f>
        <v>70</v>
      </c>
      <c r="S23" s="390">
        <f>IF(S14=1,Thermostat!$C$7,Thermostat!$C$8)</f>
        <v>70</v>
      </c>
      <c r="T23" s="390">
        <f>IF(T14=1,Thermostat!$C$7,Thermostat!$C$8)</f>
        <v>70</v>
      </c>
      <c r="U23" s="390">
        <f>IF(U14=1,Thermostat!$C$7,Thermostat!$C$8)</f>
        <v>70</v>
      </c>
      <c r="V23" s="390">
        <f>IF(V14=1,Thermostat!$C$7,Thermostat!$C$8)</f>
        <v>60</v>
      </c>
      <c r="W23" s="390">
        <f>IF(W14=1,Thermostat!$C$7,Thermostat!$C$8)</f>
        <v>60</v>
      </c>
      <c r="X23" s="390">
        <f>IF(X14=1,Thermostat!$C$7,Thermostat!$C$8)</f>
        <v>60</v>
      </c>
      <c r="Y23" s="390">
        <f>IF(Y14=1,Thermostat!$C$7,Thermostat!$C$8)</f>
        <v>60</v>
      </c>
      <c r="Z23" s="390">
        <f>IF(Z14=1,Thermostat!$C$7,Thermostat!$C$8)</f>
        <v>60</v>
      </c>
      <c r="AA23" s="390">
        <f>IF(AA14=1,Thermostat!$C$7,Thermostat!$C$8)</f>
        <v>60</v>
      </c>
      <c r="AB23" s="390">
        <f>IF(AB14=1,Thermostat!$C$7,Thermostat!$C$8)</f>
        <v>60</v>
      </c>
      <c r="AC23" s="391">
        <f>IF(AC14=1,Thermostat!$C$7,Thermostat!$C$8)</f>
        <v>60</v>
      </c>
      <c r="AD23" s="49"/>
      <c r="AE23" s="49"/>
      <c r="AF23" s="49"/>
      <c r="AG23" s="49"/>
      <c r="AH23" s="49"/>
      <c r="AI23" s="49"/>
      <c r="AJ23" s="49"/>
      <c r="AK23" s="49"/>
      <c r="AM23" s="59"/>
    </row>
    <row r="24" spans="1:39" ht="38.65" customHeight="1" thickBot="1" x14ac:dyDescent="0.3">
      <c r="A24" s="691"/>
      <c r="B24" s="720"/>
      <c r="C24" s="706"/>
      <c r="D24" s="673"/>
      <c r="E24" s="136" t="s">
        <v>508</v>
      </c>
      <c r="F24" s="392">
        <f>IF(F15=1,Thermostat!$C$7,Thermostat!$C$8)</f>
        <v>60</v>
      </c>
      <c r="G24" s="392">
        <f>IF(G15=1,Thermostat!$C$7,Thermostat!$C$8)</f>
        <v>60</v>
      </c>
      <c r="H24" s="392">
        <f>IF(H15=1,Thermostat!$C$7,Thermostat!$C$8)</f>
        <v>60</v>
      </c>
      <c r="I24" s="392">
        <f>IF(I15=1,Thermostat!$C$7,Thermostat!$C$8)</f>
        <v>60</v>
      </c>
      <c r="J24" s="392">
        <f>IF(J15=1,Thermostat!$C$7,Thermostat!$C$8)</f>
        <v>60</v>
      </c>
      <c r="K24" s="392">
        <f>IF(K15=1,Thermostat!$C$7,Thermostat!$C$8)</f>
        <v>60</v>
      </c>
      <c r="L24" s="392">
        <f>IF(L15=1,Thermostat!$C$7,Thermostat!$C$8)</f>
        <v>60</v>
      </c>
      <c r="M24" s="392">
        <f>IF(M15=1,Thermostat!$C$7,Thermostat!$C$8)</f>
        <v>60</v>
      </c>
      <c r="N24" s="392">
        <f>IF(N15=1,Thermostat!$C$7,Thermostat!$C$8)</f>
        <v>60</v>
      </c>
      <c r="O24" s="392">
        <f>IF(O15=1,Thermostat!$C$7,Thermostat!$C$8)</f>
        <v>60</v>
      </c>
      <c r="P24" s="392">
        <f>IF(P15=1,Thermostat!$C$7,Thermostat!$C$8)</f>
        <v>60</v>
      </c>
      <c r="Q24" s="392">
        <f>IF(Q15=1,Thermostat!$C$7,Thermostat!$C$8)</f>
        <v>60</v>
      </c>
      <c r="R24" s="392">
        <f>IF(R15=1,Thermostat!$C$7,Thermostat!$C$8)</f>
        <v>60</v>
      </c>
      <c r="S24" s="392">
        <f>IF(S15=1,Thermostat!$C$7,Thermostat!$C$8)</f>
        <v>60</v>
      </c>
      <c r="T24" s="392">
        <f>IF(T15=1,Thermostat!$C$7,Thermostat!$C$8)</f>
        <v>60</v>
      </c>
      <c r="U24" s="392">
        <f>IF(U15=1,Thermostat!$C$7,Thermostat!$C$8)</f>
        <v>60</v>
      </c>
      <c r="V24" s="392">
        <f>IF(V15=1,Thermostat!$C$7,Thermostat!$C$8)</f>
        <v>60</v>
      </c>
      <c r="W24" s="392">
        <f>IF(W15=1,Thermostat!$C$7,Thermostat!$C$8)</f>
        <v>60</v>
      </c>
      <c r="X24" s="392">
        <f>IF(X15=1,Thermostat!$C$7,Thermostat!$C$8)</f>
        <v>60</v>
      </c>
      <c r="Y24" s="392">
        <f>IF(Y15=1,Thermostat!$C$7,Thermostat!$C$8)</f>
        <v>60</v>
      </c>
      <c r="Z24" s="392">
        <f>IF(Z15=1,Thermostat!$C$7,Thermostat!$C$8)</f>
        <v>60</v>
      </c>
      <c r="AA24" s="392">
        <f>IF(AA15=1,Thermostat!$C$7,Thermostat!$C$8)</f>
        <v>60</v>
      </c>
      <c r="AB24" s="392">
        <f>IF(AB15=1,Thermostat!$C$7,Thermostat!$C$8)</f>
        <v>60</v>
      </c>
      <c r="AC24" s="393">
        <f>IF(AC15=1,Thermostat!$C$7,Thermostat!$C$8)</f>
        <v>60</v>
      </c>
      <c r="AD24" s="49"/>
      <c r="AE24" s="49"/>
      <c r="AF24" s="49"/>
      <c r="AG24" s="49"/>
      <c r="AH24" s="49"/>
      <c r="AI24" s="49"/>
      <c r="AJ24" s="49"/>
      <c r="AK24" s="49"/>
      <c r="AM24" s="59"/>
    </row>
    <row r="25" spans="1:39" ht="38.65" customHeight="1" x14ac:dyDescent="0.25">
      <c r="A25" s="689" t="str">
        <f>A4</f>
        <v>Fine storage</v>
      </c>
      <c r="B25" s="674" t="str">
        <f>B4</f>
        <v>FineStorage</v>
      </c>
      <c r="C25" s="704" t="s">
        <v>523</v>
      </c>
      <c r="D25" s="677" t="s">
        <v>522</v>
      </c>
      <c r="E25" s="127" t="s">
        <v>509</v>
      </c>
      <c r="F25" s="388">
        <f>IF(F13=1,Thermostat!$C$9,Thermostat!$C$10)</f>
        <v>85</v>
      </c>
      <c r="G25" s="388">
        <f>IF(G13=1,Thermostat!$C$9,Thermostat!$C$10)</f>
        <v>85</v>
      </c>
      <c r="H25" s="388">
        <f>IF(H13=1,Thermostat!$C$9,Thermostat!$C$10)</f>
        <v>85</v>
      </c>
      <c r="I25" s="388">
        <f>IF(I13=1,Thermostat!$C$9,Thermostat!$C$10)</f>
        <v>85</v>
      </c>
      <c r="J25" s="388">
        <f>IF(J13=1,Thermostat!$C$9,Thermostat!$C$10)</f>
        <v>75</v>
      </c>
      <c r="K25" s="388">
        <f>IF(K13=1,Thermostat!$C$9,Thermostat!$C$10)</f>
        <v>75</v>
      </c>
      <c r="L25" s="388">
        <f>IF(L13=1,Thermostat!$C$9,Thermostat!$C$10)</f>
        <v>75</v>
      </c>
      <c r="M25" s="388">
        <f>IF(M13=1,Thermostat!$C$9,Thermostat!$C$10)</f>
        <v>75</v>
      </c>
      <c r="N25" s="388">
        <f>IF(N13=1,Thermostat!$C$9,Thermostat!$C$10)</f>
        <v>75</v>
      </c>
      <c r="O25" s="388">
        <f>IF(O13=1,Thermostat!$C$9,Thermostat!$C$10)</f>
        <v>75</v>
      </c>
      <c r="P25" s="388">
        <f>IF(P13=1,Thermostat!$C$9,Thermostat!$C$10)</f>
        <v>75</v>
      </c>
      <c r="Q25" s="388">
        <f>IF(Q13=1,Thermostat!$C$9,Thermostat!$C$10)</f>
        <v>75</v>
      </c>
      <c r="R25" s="388">
        <f>IF(R13=1,Thermostat!$C$9,Thermostat!$C$10)</f>
        <v>75</v>
      </c>
      <c r="S25" s="388">
        <f>IF(S13=1,Thermostat!$C$9,Thermostat!$C$10)</f>
        <v>75</v>
      </c>
      <c r="T25" s="388">
        <f>IF(T13=1,Thermostat!$C$9,Thermostat!$C$10)</f>
        <v>75</v>
      </c>
      <c r="U25" s="388">
        <f>IF(U13=1,Thermostat!$C$9,Thermostat!$C$10)</f>
        <v>75</v>
      </c>
      <c r="V25" s="388">
        <f>IF(V13=1,Thermostat!$C$9,Thermostat!$C$10)</f>
        <v>85</v>
      </c>
      <c r="W25" s="388">
        <f>IF(W13=1,Thermostat!$C$9,Thermostat!$C$10)</f>
        <v>85</v>
      </c>
      <c r="X25" s="388">
        <f>IF(X13=1,Thermostat!$C$9,Thermostat!$C$10)</f>
        <v>85</v>
      </c>
      <c r="Y25" s="388">
        <f>IF(Y13=1,Thermostat!$C$9,Thermostat!$C$10)</f>
        <v>85</v>
      </c>
      <c r="Z25" s="388">
        <f>IF(Z13=1,Thermostat!$C$9,Thermostat!$C$10)</f>
        <v>85</v>
      </c>
      <c r="AA25" s="388">
        <f>IF(AA13=1,Thermostat!$C$9,Thermostat!$C$10)</f>
        <v>85</v>
      </c>
      <c r="AB25" s="388">
        <f>IF(AB13=1,Thermostat!$C$9,Thermostat!$C$10)</f>
        <v>85</v>
      </c>
      <c r="AC25" s="389">
        <f>IF(AC13=1,Thermostat!$C$9,Thermostat!$C$10)</f>
        <v>85</v>
      </c>
      <c r="AD25" s="49"/>
      <c r="AE25" s="49"/>
      <c r="AF25" s="49"/>
      <c r="AG25" s="49"/>
      <c r="AH25" s="49"/>
      <c r="AI25" s="49"/>
      <c r="AJ25" s="49"/>
      <c r="AK25" s="49"/>
      <c r="AM25" s="59"/>
    </row>
    <row r="26" spans="1:39" ht="38.65" customHeight="1" x14ac:dyDescent="0.25">
      <c r="A26" s="690"/>
      <c r="B26" s="675"/>
      <c r="C26" s="705"/>
      <c r="D26" s="672"/>
      <c r="E26" s="130" t="s">
        <v>507</v>
      </c>
      <c r="F26" s="390">
        <f>IF(F14=1,Thermostat!$C$9,Thermostat!$C$10)</f>
        <v>85</v>
      </c>
      <c r="G26" s="390">
        <f>IF(G14=1,Thermostat!$C$9,Thermostat!$C$10)</f>
        <v>85</v>
      </c>
      <c r="H26" s="390">
        <f>IF(H14=1,Thermostat!$C$9,Thermostat!$C$10)</f>
        <v>85</v>
      </c>
      <c r="I26" s="390">
        <f>IF(I14=1,Thermostat!$C$9,Thermostat!$C$10)</f>
        <v>85</v>
      </c>
      <c r="J26" s="390">
        <f>IF(J14=1,Thermostat!$C$9,Thermostat!$C$10)</f>
        <v>75</v>
      </c>
      <c r="K26" s="390">
        <f>IF(K14=1,Thermostat!$C$9,Thermostat!$C$10)</f>
        <v>75</v>
      </c>
      <c r="L26" s="390">
        <f>IF(L14=1,Thermostat!$C$9,Thermostat!$C$10)</f>
        <v>75</v>
      </c>
      <c r="M26" s="390">
        <f>IF(M14=1,Thermostat!$C$9,Thermostat!$C$10)</f>
        <v>75</v>
      </c>
      <c r="N26" s="390">
        <f>IF(N14=1,Thermostat!$C$9,Thermostat!$C$10)</f>
        <v>75</v>
      </c>
      <c r="O26" s="390">
        <f>IF(O14=1,Thermostat!$C$9,Thermostat!$C$10)</f>
        <v>75</v>
      </c>
      <c r="P26" s="390">
        <f>IF(P14=1,Thermostat!$C$9,Thermostat!$C$10)</f>
        <v>75</v>
      </c>
      <c r="Q26" s="390">
        <f>IF(Q14=1,Thermostat!$C$9,Thermostat!$C$10)</f>
        <v>75</v>
      </c>
      <c r="R26" s="390">
        <f>IF(R14=1,Thermostat!$C$9,Thermostat!$C$10)</f>
        <v>75</v>
      </c>
      <c r="S26" s="390">
        <f>IF(S14=1,Thermostat!$C$9,Thermostat!$C$10)</f>
        <v>75</v>
      </c>
      <c r="T26" s="390">
        <f>IF(T14=1,Thermostat!$C$9,Thermostat!$C$10)</f>
        <v>75</v>
      </c>
      <c r="U26" s="390">
        <f>IF(U14=1,Thermostat!$C$9,Thermostat!$C$10)</f>
        <v>75</v>
      </c>
      <c r="V26" s="390">
        <f>IF(V14=1,Thermostat!$C$9,Thermostat!$C$10)</f>
        <v>85</v>
      </c>
      <c r="W26" s="390">
        <f>IF(W14=1,Thermostat!$C$9,Thermostat!$C$10)</f>
        <v>85</v>
      </c>
      <c r="X26" s="390">
        <f>IF(X14=1,Thermostat!$C$9,Thermostat!$C$10)</f>
        <v>85</v>
      </c>
      <c r="Y26" s="390">
        <f>IF(Y14=1,Thermostat!$C$9,Thermostat!$C$10)</f>
        <v>85</v>
      </c>
      <c r="Z26" s="390">
        <f>IF(Z14=1,Thermostat!$C$9,Thermostat!$C$10)</f>
        <v>85</v>
      </c>
      <c r="AA26" s="390">
        <f>IF(AA14=1,Thermostat!$C$9,Thermostat!$C$10)</f>
        <v>85</v>
      </c>
      <c r="AB26" s="390">
        <f>IF(AB14=1,Thermostat!$C$9,Thermostat!$C$10)</f>
        <v>85</v>
      </c>
      <c r="AC26" s="391">
        <f>IF(AC14=1,Thermostat!$C$9,Thermostat!$C$10)</f>
        <v>85</v>
      </c>
      <c r="AD26" s="49"/>
      <c r="AE26" s="49"/>
      <c r="AF26" s="49"/>
      <c r="AG26" s="49"/>
      <c r="AH26" s="49"/>
      <c r="AI26" s="49"/>
      <c r="AJ26" s="49"/>
      <c r="AK26" s="49"/>
      <c r="AM26" s="59"/>
    </row>
    <row r="27" spans="1:39" ht="38.65" customHeight="1" thickBot="1" x14ac:dyDescent="0.3">
      <c r="A27" s="703"/>
      <c r="B27" s="676"/>
      <c r="C27" s="706"/>
      <c r="D27" s="673"/>
      <c r="E27" s="136" t="s">
        <v>508</v>
      </c>
      <c r="F27" s="392">
        <f>IF(F15=1,Thermostat!$C$9,Thermostat!$C$10)</f>
        <v>85</v>
      </c>
      <c r="G27" s="392">
        <f>IF(G15=1,Thermostat!$C$9,Thermostat!$C$10)</f>
        <v>85</v>
      </c>
      <c r="H27" s="392">
        <f>IF(H15=1,Thermostat!$C$9,Thermostat!$C$10)</f>
        <v>85</v>
      </c>
      <c r="I27" s="392">
        <f>IF(I15=1,Thermostat!$C$9,Thermostat!$C$10)</f>
        <v>85</v>
      </c>
      <c r="J27" s="392">
        <f>IF(J15=1,Thermostat!$C$9,Thermostat!$C$10)</f>
        <v>85</v>
      </c>
      <c r="K27" s="392">
        <f>IF(K15=1,Thermostat!$C$9,Thermostat!$C$10)</f>
        <v>85</v>
      </c>
      <c r="L27" s="392">
        <f>IF(L15=1,Thermostat!$C$9,Thermostat!$C$10)</f>
        <v>85</v>
      </c>
      <c r="M27" s="392">
        <f>IF(M15=1,Thermostat!$C$9,Thermostat!$C$10)</f>
        <v>85</v>
      </c>
      <c r="N27" s="392">
        <f>IF(N15=1,Thermostat!$C$9,Thermostat!$C$10)</f>
        <v>85</v>
      </c>
      <c r="O27" s="392">
        <f>IF(O15=1,Thermostat!$C$9,Thermostat!$C$10)</f>
        <v>85</v>
      </c>
      <c r="P27" s="392">
        <f>IF(P15=1,Thermostat!$C$9,Thermostat!$C$10)</f>
        <v>85</v>
      </c>
      <c r="Q27" s="392">
        <f>IF(Q15=1,Thermostat!$C$9,Thermostat!$C$10)</f>
        <v>85</v>
      </c>
      <c r="R27" s="392">
        <f>IF(R15=1,Thermostat!$C$9,Thermostat!$C$10)</f>
        <v>85</v>
      </c>
      <c r="S27" s="392">
        <f>IF(S15=1,Thermostat!$C$9,Thermostat!$C$10)</f>
        <v>85</v>
      </c>
      <c r="T27" s="392">
        <f>IF(T15=1,Thermostat!$C$9,Thermostat!$C$10)</f>
        <v>85</v>
      </c>
      <c r="U27" s="392">
        <f>IF(U15=1,Thermostat!$C$9,Thermostat!$C$10)</f>
        <v>85</v>
      </c>
      <c r="V27" s="392">
        <f>IF(V15=1,Thermostat!$C$9,Thermostat!$C$10)</f>
        <v>85</v>
      </c>
      <c r="W27" s="392">
        <f>IF(W15=1,Thermostat!$C$9,Thermostat!$C$10)</f>
        <v>85</v>
      </c>
      <c r="X27" s="392">
        <f>IF(X15=1,Thermostat!$C$9,Thermostat!$C$10)</f>
        <v>85</v>
      </c>
      <c r="Y27" s="392">
        <f>IF(Y15=1,Thermostat!$C$9,Thermostat!$C$10)</f>
        <v>85</v>
      </c>
      <c r="Z27" s="392">
        <f>IF(Z15=1,Thermostat!$C$9,Thermostat!$C$10)</f>
        <v>85</v>
      </c>
      <c r="AA27" s="392">
        <f>IF(AA15=1,Thermostat!$C$9,Thermostat!$C$10)</f>
        <v>85</v>
      </c>
      <c r="AB27" s="392">
        <f>IF(AB15=1,Thermostat!$C$9,Thermostat!$C$10)</f>
        <v>85</v>
      </c>
      <c r="AC27" s="393">
        <f>IF(AC15=1,Thermostat!$C$9,Thermostat!$C$10)</f>
        <v>85</v>
      </c>
      <c r="AD27" s="49"/>
      <c r="AE27" s="49"/>
      <c r="AF27" s="49"/>
      <c r="AG27" s="49"/>
      <c r="AH27" s="49"/>
      <c r="AI27" s="49"/>
      <c r="AJ27" s="49"/>
      <c r="AK27" s="49"/>
      <c r="AM27" s="59"/>
    </row>
    <row r="28" spans="1:39" ht="38.65" customHeight="1" thickBot="1" x14ac:dyDescent="0.3">
      <c r="A28" s="678" t="s">
        <v>171</v>
      </c>
      <c r="B28" s="678"/>
      <c r="C28" s="678"/>
      <c r="D28" s="678"/>
      <c r="E28" s="678"/>
      <c r="F28" s="678"/>
      <c r="G28" s="678"/>
      <c r="H28" s="678"/>
      <c r="I28" s="678"/>
      <c r="J28" s="678"/>
      <c r="K28" s="678"/>
      <c r="L28" s="678"/>
      <c r="M28" s="678"/>
      <c r="N28" s="678"/>
      <c r="O28" s="678"/>
      <c r="P28" s="678"/>
      <c r="Q28" s="678"/>
      <c r="R28" s="678"/>
      <c r="S28" s="678"/>
      <c r="T28" s="678"/>
      <c r="U28" s="678"/>
      <c r="V28" s="678"/>
      <c r="W28" s="678"/>
      <c r="X28" s="678"/>
      <c r="Y28" s="678"/>
      <c r="Z28" s="678"/>
      <c r="AA28" s="678"/>
      <c r="AB28" s="678"/>
      <c r="AC28" s="679"/>
      <c r="AD28" s="49"/>
      <c r="AE28" s="49"/>
      <c r="AF28" s="49"/>
      <c r="AG28" s="49"/>
      <c r="AH28" s="49"/>
      <c r="AI28" s="49"/>
      <c r="AJ28" s="49"/>
      <c r="AK28" s="49"/>
      <c r="AM28" s="59"/>
    </row>
    <row r="29" spans="1:39" ht="34.9" customHeight="1" x14ac:dyDescent="0.25">
      <c r="A29" s="702" t="s">
        <v>524</v>
      </c>
      <c r="B29" s="718" t="s">
        <v>171</v>
      </c>
      <c r="C29" s="674" t="s">
        <v>531</v>
      </c>
      <c r="D29" s="732" t="s">
        <v>515</v>
      </c>
      <c r="E29" s="442" t="s">
        <v>509</v>
      </c>
      <c r="F29" s="143">
        <v>0</v>
      </c>
      <c r="G29" s="143">
        <v>0</v>
      </c>
      <c r="H29" s="143">
        <v>0</v>
      </c>
      <c r="I29" s="143">
        <v>0</v>
      </c>
      <c r="J29" s="143">
        <v>0</v>
      </c>
      <c r="K29" s="443">
        <v>0.15</v>
      </c>
      <c r="L29" s="443">
        <v>0.7</v>
      </c>
      <c r="M29" s="443">
        <v>0.9</v>
      </c>
      <c r="N29" s="443">
        <v>0.9</v>
      </c>
      <c r="O29" s="143">
        <v>0.9</v>
      </c>
      <c r="P29" s="143">
        <v>0.9</v>
      </c>
      <c r="Q29" s="143">
        <v>0.9</v>
      </c>
      <c r="R29" s="143">
        <v>0.5</v>
      </c>
      <c r="S29" s="143">
        <v>0.85</v>
      </c>
      <c r="T29" s="143">
        <v>0.85</v>
      </c>
      <c r="U29" s="443">
        <v>0.2</v>
      </c>
      <c r="V29" s="443">
        <v>0</v>
      </c>
      <c r="W29" s="143">
        <v>0</v>
      </c>
      <c r="X29" s="143">
        <v>0</v>
      </c>
      <c r="Y29" s="143">
        <v>0</v>
      </c>
      <c r="Z29" s="143">
        <v>0</v>
      </c>
      <c r="AA29" s="143">
        <v>0</v>
      </c>
      <c r="AB29" s="143">
        <v>0</v>
      </c>
      <c r="AC29" s="144">
        <v>0</v>
      </c>
      <c r="AD29" s="49"/>
      <c r="AE29" s="49"/>
      <c r="AF29" s="49"/>
      <c r="AG29" s="49"/>
      <c r="AH29" s="49"/>
      <c r="AI29" s="49"/>
      <c r="AJ29" s="49"/>
      <c r="AK29" s="49"/>
    </row>
    <row r="30" spans="1:39" ht="34.9" customHeight="1" x14ac:dyDescent="0.25">
      <c r="A30" s="690"/>
      <c r="B30" s="693"/>
      <c r="C30" s="675"/>
      <c r="D30" s="733"/>
      <c r="E30" s="406" t="s">
        <v>507</v>
      </c>
      <c r="F30" s="441">
        <v>0</v>
      </c>
      <c r="G30" s="441">
        <v>0</v>
      </c>
      <c r="H30" s="441">
        <v>0</v>
      </c>
      <c r="I30" s="441">
        <v>0</v>
      </c>
      <c r="J30" s="441">
        <v>0</v>
      </c>
      <c r="K30" s="441">
        <v>0.15</v>
      </c>
      <c r="L30" s="441">
        <v>0.7</v>
      </c>
      <c r="M30" s="441">
        <v>0.9</v>
      </c>
      <c r="N30" s="441">
        <v>0.9</v>
      </c>
      <c r="O30" s="441">
        <v>0.9</v>
      </c>
      <c r="P30" s="441">
        <v>0.9</v>
      </c>
      <c r="Q30" s="441">
        <v>0.9</v>
      </c>
      <c r="R30" s="441">
        <v>0.5</v>
      </c>
      <c r="S30" s="441">
        <v>0.85</v>
      </c>
      <c r="T30" s="441">
        <v>0.85</v>
      </c>
      <c r="U30" s="441">
        <v>0.2</v>
      </c>
      <c r="V30" s="441">
        <v>0</v>
      </c>
      <c r="W30" s="441">
        <v>0</v>
      </c>
      <c r="X30" s="441">
        <v>0</v>
      </c>
      <c r="Y30" s="441">
        <v>0</v>
      </c>
      <c r="Z30" s="441">
        <v>0</v>
      </c>
      <c r="AA30" s="441">
        <v>0</v>
      </c>
      <c r="AB30" s="441">
        <v>0</v>
      </c>
      <c r="AC30" s="456">
        <v>0</v>
      </c>
      <c r="AD30" s="49"/>
      <c r="AE30" s="49"/>
      <c r="AF30" s="49"/>
      <c r="AG30" s="49"/>
      <c r="AH30" s="49"/>
      <c r="AI30" s="49"/>
      <c r="AJ30" s="49"/>
      <c r="AK30" s="49"/>
    </row>
    <row r="31" spans="1:39" ht="34.9" customHeight="1" thickBot="1" x14ac:dyDescent="0.3">
      <c r="A31" s="729"/>
      <c r="B31" s="719"/>
      <c r="C31" s="720"/>
      <c r="D31" s="734"/>
      <c r="E31" s="409" t="s">
        <v>508</v>
      </c>
      <c r="F31" s="151">
        <v>0</v>
      </c>
      <c r="G31" s="151">
        <v>0</v>
      </c>
      <c r="H31" s="151">
        <v>0</v>
      </c>
      <c r="I31" s="151">
        <v>0</v>
      </c>
      <c r="J31" s="151">
        <v>0</v>
      </c>
      <c r="K31" s="151">
        <v>0</v>
      </c>
      <c r="L31" s="151">
        <v>0</v>
      </c>
      <c r="M31" s="151">
        <v>0</v>
      </c>
      <c r="N31" s="151">
        <v>0</v>
      </c>
      <c r="O31" s="151">
        <v>0</v>
      </c>
      <c r="P31" s="151">
        <v>0</v>
      </c>
      <c r="Q31" s="151">
        <v>0</v>
      </c>
      <c r="R31" s="151">
        <v>0</v>
      </c>
      <c r="S31" s="151">
        <v>0</v>
      </c>
      <c r="T31" s="151">
        <v>0</v>
      </c>
      <c r="U31" s="151">
        <v>0</v>
      </c>
      <c r="V31" s="151">
        <v>0</v>
      </c>
      <c r="W31" s="151">
        <v>0</v>
      </c>
      <c r="X31" s="151">
        <v>0</v>
      </c>
      <c r="Y31" s="151">
        <v>0</v>
      </c>
      <c r="Z31" s="151">
        <v>0</v>
      </c>
      <c r="AA31" s="151">
        <v>0</v>
      </c>
      <c r="AB31" s="151">
        <v>0</v>
      </c>
      <c r="AC31" s="152">
        <v>0</v>
      </c>
      <c r="AD31" s="49"/>
      <c r="AE31" s="49"/>
      <c r="AF31" s="49"/>
      <c r="AG31" s="49"/>
      <c r="AH31" s="49"/>
      <c r="AI31" s="49"/>
      <c r="AJ31" s="49"/>
      <c r="AK31" s="49"/>
    </row>
    <row r="32" spans="1:39" ht="37.9" customHeight="1" x14ac:dyDescent="0.25">
      <c r="A32" s="702" t="str">
        <f>A29</f>
        <v>Bulk storage</v>
      </c>
      <c r="B32" s="718" t="str">
        <f>B29</f>
        <v>BulkStorage</v>
      </c>
      <c r="C32" s="674" t="s">
        <v>514</v>
      </c>
      <c r="D32" s="735" t="s">
        <v>519</v>
      </c>
      <c r="E32" s="412" t="s">
        <v>509</v>
      </c>
      <c r="F32" s="153">
        <v>0.05</v>
      </c>
      <c r="G32" s="153">
        <v>0.05</v>
      </c>
      <c r="H32" s="153">
        <v>0.05</v>
      </c>
      <c r="I32" s="153">
        <v>0.05</v>
      </c>
      <c r="J32" s="153">
        <v>0.05</v>
      </c>
      <c r="K32" s="458">
        <v>0.45</v>
      </c>
      <c r="L32" s="458">
        <v>0.55000000000000004</v>
      </c>
      <c r="M32" s="458">
        <v>0.55000000000000004</v>
      </c>
      <c r="N32" s="153">
        <v>0.55000000000000004</v>
      </c>
      <c r="O32" s="153">
        <v>0.55000000000000004</v>
      </c>
      <c r="P32" s="153">
        <v>0.55000000000000004</v>
      </c>
      <c r="Q32" s="153">
        <v>0.55000000000000004</v>
      </c>
      <c r="R32" s="153">
        <v>0.55000000000000004</v>
      </c>
      <c r="S32" s="153">
        <v>0.55000000000000004</v>
      </c>
      <c r="T32" s="153">
        <v>0.55000000000000004</v>
      </c>
      <c r="U32" s="153">
        <v>0.55000000000000004</v>
      </c>
      <c r="V32" s="458">
        <v>0.3</v>
      </c>
      <c r="W32" s="458">
        <v>0.05</v>
      </c>
      <c r="X32" s="153">
        <v>0.05</v>
      </c>
      <c r="Y32" s="153">
        <v>0.05</v>
      </c>
      <c r="Z32" s="153">
        <v>0.05</v>
      </c>
      <c r="AA32" s="153">
        <v>0.05</v>
      </c>
      <c r="AB32" s="153">
        <v>0.05</v>
      </c>
      <c r="AC32" s="154">
        <v>0.05</v>
      </c>
      <c r="AD32" s="49"/>
      <c r="AE32" s="49"/>
      <c r="AF32" s="49"/>
      <c r="AG32" s="49"/>
      <c r="AH32" s="49"/>
      <c r="AI32" s="49"/>
      <c r="AJ32" s="49"/>
      <c r="AK32" s="49"/>
    </row>
    <row r="33" spans="1:39" ht="37.9" customHeight="1" x14ac:dyDescent="0.25">
      <c r="A33" s="690"/>
      <c r="B33" s="693"/>
      <c r="C33" s="675"/>
      <c r="D33" s="733"/>
      <c r="E33" s="406" t="s">
        <v>507</v>
      </c>
      <c r="F33" s="441">
        <v>0.05</v>
      </c>
      <c r="G33" s="441">
        <v>0.05</v>
      </c>
      <c r="H33" s="441">
        <v>0.05</v>
      </c>
      <c r="I33" s="441">
        <v>0.05</v>
      </c>
      <c r="J33" s="441">
        <v>0.05</v>
      </c>
      <c r="K33" s="441">
        <v>0.45</v>
      </c>
      <c r="L33" s="441">
        <v>0.55000000000000004</v>
      </c>
      <c r="M33" s="441">
        <v>0.55000000000000004</v>
      </c>
      <c r="N33" s="441">
        <v>0.55000000000000004</v>
      </c>
      <c r="O33" s="441">
        <v>0.55000000000000004</v>
      </c>
      <c r="P33" s="441">
        <v>0.55000000000000004</v>
      </c>
      <c r="Q33" s="441">
        <v>0.55000000000000004</v>
      </c>
      <c r="R33" s="441">
        <v>0.55000000000000004</v>
      </c>
      <c r="S33" s="441">
        <v>0.55000000000000004</v>
      </c>
      <c r="T33" s="441">
        <v>0.55000000000000004</v>
      </c>
      <c r="U33" s="441">
        <v>0.55000000000000004</v>
      </c>
      <c r="V33" s="441">
        <v>0.3</v>
      </c>
      <c r="W33" s="441">
        <v>0.05</v>
      </c>
      <c r="X33" s="441">
        <v>0.05</v>
      </c>
      <c r="Y33" s="441">
        <v>0.05</v>
      </c>
      <c r="Z33" s="441">
        <v>0.05</v>
      </c>
      <c r="AA33" s="441">
        <v>0.05</v>
      </c>
      <c r="AB33" s="441">
        <v>0.05</v>
      </c>
      <c r="AC33" s="456">
        <v>0.05</v>
      </c>
      <c r="AD33" s="49"/>
      <c r="AE33" s="49"/>
      <c r="AF33" s="49"/>
      <c r="AG33" s="49"/>
      <c r="AH33" s="49"/>
      <c r="AI33" s="49"/>
      <c r="AJ33" s="49"/>
      <c r="AK33" s="49"/>
    </row>
    <row r="34" spans="1:39" ht="37.9" customHeight="1" thickBot="1" x14ac:dyDescent="0.3">
      <c r="A34" s="729"/>
      <c r="B34" s="719"/>
      <c r="C34" s="720"/>
      <c r="D34" s="734"/>
      <c r="E34" s="409" t="s">
        <v>508</v>
      </c>
      <c r="F34" s="151">
        <v>0.05</v>
      </c>
      <c r="G34" s="151">
        <v>0.05</v>
      </c>
      <c r="H34" s="151">
        <v>0.05</v>
      </c>
      <c r="I34" s="151">
        <v>0.05</v>
      </c>
      <c r="J34" s="151">
        <v>0.05</v>
      </c>
      <c r="K34" s="151">
        <v>0.05</v>
      </c>
      <c r="L34" s="151">
        <v>0.05</v>
      </c>
      <c r="M34" s="151">
        <v>0.05</v>
      </c>
      <c r="N34" s="151">
        <v>0.05</v>
      </c>
      <c r="O34" s="151">
        <v>0.05</v>
      </c>
      <c r="P34" s="151">
        <v>0.05</v>
      </c>
      <c r="Q34" s="151">
        <v>0.05</v>
      </c>
      <c r="R34" s="151">
        <v>0.05</v>
      </c>
      <c r="S34" s="151">
        <v>0.05</v>
      </c>
      <c r="T34" s="151">
        <v>0.05</v>
      </c>
      <c r="U34" s="151">
        <v>0.05</v>
      </c>
      <c r="V34" s="151">
        <v>0.05</v>
      </c>
      <c r="W34" s="151">
        <v>0.05</v>
      </c>
      <c r="X34" s="151">
        <v>0.05</v>
      </c>
      <c r="Y34" s="151">
        <v>0.05</v>
      </c>
      <c r="Z34" s="151">
        <v>0.05</v>
      </c>
      <c r="AA34" s="151">
        <v>0.05</v>
      </c>
      <c r="AB34" s="151">
        <v>0.05</v>
      </c>
      <c r="AC34" s="152">
        <v>0.05</v>
      </c>
      <c r="AD34" s="49"/>
      <c r="AE34" s="49"/>
      <c r="AF34" s="49"/>
      <c r="AG34" s="49"/>
      <c r="AH34" s="49"/>
      <c r="AI34" s="49"/>
      <c r="AJ34" s="49"/>
      <c r="AK34" s="49"/>
    </row>
    <row r="35" spans="1:39" ht="38.65" customHeight="1" x14ac:dyDescent="0.25">
      <c r="A35" s="689" t="str">
        <f>A29</f>
        <v>Bulk storage</v>
      </c>
      <c r="B35" s="692" t="str">
        <f>B29</f>
        <v>BulkStorage</v>
      </c>
      <c r="C35" s="695" t="s">
        <v>516</v>
      </c>
      <c r="D35" s="698" t="s">
        <v>525</v>
      </c>
      <c r="E35" s="412" t="s">
        <v>509</v>
      </c>
      <c r="F35" s="454">
        <v>0.05</v>
      </c>
      <c r="G35" s="454">
        <v>0.05</v>
      </c>
      <c r="H35" s="454">
        <v>0.05</v>
      </c>
      <c r="I35" s="454">
        <v>0.05</v>
      </c>
      <c r="J35" s="454">
        <v>0.05</v>
      </c>
      <c r="K35" s="454">
        <v>0.5</v>
      </c>
      <c r="L35" s="454">
        <v>0.9</v>
      </c>
      <c r="M35" s="454">
        <v>0.9</v>
      </c>
      <c r="N35" s="454">
        <v>0.9</v>
      </c>
      <c r="O35" s="454">
        <v>0.9</v>
      </c>
      <c r="P35" s="454">
        <v>0.9</v>
      </c>
      <c r="Q35" s="454">
        <v>0.9</v>
      </c>
      <c r="R35" s="454">
        <v>0.9</v>
      </c>
      <c r="S35" s="454">
        <v>0.9</v>
      </c>
      <c r="T35" s="454">
        <v>0.9</v>
      </c>
      <c r="U35" s="454">
        <v>0.65</v>
      </c>
      <c r="V35" s="454">
        <v>0.25</v>
      </c>
      <c r="W35" s="454">
        <v>0.05</v>
      </c>
      <c r="X35" s="454">
        <v>0.05</v>
      </c>
      <c r="Y35" s="454">
        <v>0.05</v>
      </c>
      <c r="Z35" s="454">
        <v>0.05</v>
      </c>
      <c r="AA35" s="454">
        <v>0.05</v>
      </c>
      <c r="AB35" s="454">
        <v>0.05</v>
      </c>
      <c r="AC35" s="455">
        <v>0.05</v>
      </c>
      <c r="AD35" s="49"/>
      <c r="AE35" s="49"/>
      <c r="AF35" s="49"/>
      <c r="AG35" s="49"/>
      <c r="AH35" s="49"/>
      <c r="AI35" s="49"/>
      <c r="AJ35" s="49"/>
      <c r="AK35" s="49"/>
      <c r="AM35" s="59"/>
    </row>
    <row r="36" spans="1:39" ht="38.65" customHeight="1" x14ac:dyDescent="0.25">
      <c r="A36" s="690"/>
      <c r="B36" s="693"/>
      <c r="C36" s="696"/>
      <c r="D36" s="699"/>
      <c r="E36" s="406" t="s">
        <v>507</v>
      </c>
      <c r="F36" s="441">
        <v>0.05</v>
      </c>
      <c r="G36" s="441">
        <v>0.05</v>
      </c>
      <c r="H36" s="441">
        <v>0.05</v>
      </c>
      <c r="I36" s="441">
        <v>0.05</v>
      </c>
      <c r="J36" s="441">
        <v>0.05</v>
      </c>
      <c r="K36" s="441">
        <v>0.5</v>
      </c>
      <c r="L36" s="441">
        <v>0.9</v>
      </c>
      <c r="M36" s="441">
        <v>0.9</v>
      </c>
      <c r="N36" s="441">
        <v>0.9</v>
      </c>
      <c r="O36" s="441">
        <v>0.9</v>
      </c>
      <c r="P36" s="441">
        <v>0.9</v>
      </c>
      <c r="Q36" s="441">
        <v>0.9</v>
      </c>
      <c r="R36" s="441">
        <v>0.9</v>
      </c>
      <c r="S36" s="441">
        <v>0.9</v>
      </c>
      <c r="T36" s="441">
        <v>0.9</v>
      </c>
      <c r="U36" s="441">
        <v>0.65</v>
      </c>
      <c r="V36" s="441">
        <v>0.25</v>
      </c>
      <c r="W36" s="441">
        <v>0.05</v>
      </c>
      <c r="X36" s="441">
        <v>0.05</v>
      </c>
      <c r="Y36" s="441">
        <v>0.05</v>
      </c>
      <c r="Z36" s="441">
        <v>0.05</v>
      </c>
      <c r="AA36" s="441">
        <v>0.05</v>
      </c>
      <c r="AB36" s="441">
        <v>0.05</v>
      </c>
      <c r="AC36" s="456">
        <v>0.05</v>
      </c>
      <c r="AD36" s="49"/>
      <c r="AE36" s="49"/>
      <c r="AF36" s="49"/>
      <c r="AG36" s="49"/>
      <c r="AH36" s="49"/>
      <c r="AI36" s="49"/>
      <c r="AJ36" s="49"/>
      <c r="AK36" s="49"/>
      <c r="AM36" s="59"/>
    </row>
    <row r="37" spans="1:39" ht="38.65" customHeight="1" thickBot="1" x14ac:dyDescent="0.3">
      <c r="A37" s="691"/>
      <c r="B37" s="694"/>
      <c r="C37" s="697"/>
      <c r="D37" s="700"/>
      <c r="E37" s="409" t="s">
        <v>508</v>
      </c>
      <c r="F37" s="151">
        <v>0.05</v>
      </c>
      <c r="G37" s="151">
        <v>0.05</v>
      </c>
      <c r="H37" s="151">
        <v>0.05</v>
      </c>
      <c r="I37" s="151">
        <v>0.05</v>
      </c>
      <c r="J37" s="151">
        <v>0.05</v>
      </c>
      <c r="K37" s="151">
        <v>0.05</v>
      </c>
      <c r="L37" s="151">
        <v>0.05</v>
      </c>
      <c r="M37" s="151">
        <v>0.05</v>
      </c>
      <c r="N37" s="151">
        <v>0.05</v>
      </c>
      <c r="O37" s="151">
        <v>0.05</v>
      </c>
      <c r="P37" s="151">
        <v>0.05</v>
      </c>
      <c r="Q37" s="151">
        <v>0.05</v>
      </c>
      <c r="R37" s="151">
        <v>0.05</v>
      </c>
      <c r="S37" s="151">
        <v>0.05</v>
      </c>
      <c r="T37" s="151">
        <v>0.05</v>
      </c>
      <c r="U37" s="151">
        <v>0.05</v>
      </c>
      <c r="V37" s="151">
        <v>0.05</v>
      </c>
      <c r="W37" s="151">
        <v>0.05</v>
      </c>
      <c r="X37" s="151">
        <v>0.05</v>
      </c>
      <c r="Y37" s="151">
        <v>0.05</v>
      </c>
      <c r="Z37" s="151">
        <v>0.05</v>
      </c>
      <c r="AA37" s="151">
        <v>0.05</v>
      </c>
      <c r="AB37" s="151">
        <v>0.05</v>
      </c>
      <c r="AC37" s="152">
        <v>0.05</v>
      </c>
      <c r="AD37" s="49"/>
      <c r="AE37" s="49"/>
      <c r="AF37" s="49"/>
      <c r="AG37" s="49"/>
      <c r="AH37" s="49"/>
      <c r="AI37" s="49"/>
      <c r="AJ37" s="49"/>
      <c r="AK37" s="49"/>
      <c r="AM37" s="59"/>
    </row>
    <row r="38" spans="1:39" ht="38.450000000000003" customHeight="1" x14ac:dyDescent="0.25">
      <c r="A38" s="689" t="str">
        <f>A29</f>
        <v>Bulk storage</v>
      </c>
      <c r="B38" s="701" t="str">
        <f>B29</f>
        <v>BulkStorage</v>
      </c>
      <c r="C38" s="701" t="s">
        <v>518</v>
      </c>
      <c r="D38" s="671" t="s">
        <v>526</v>
      </c>
      <c r="E38" s="139" t="s">
        <v>509</v>
      </c>
      <c r="F38" s="140">
        <v>1</v>
      </c>
      <c r="G38" s="140">
        <v>1</v>
      </c>
      <c r="H38" s="140">
        <v>1</v>
      </c>
      <c r="I38" s="140">
        <v>1</v>
      </c>
      <c r="J38" s="140">
        <v>1</v>
      </c>
      <c r="K38" s="140">
        <v>1</v>
      </c>
      <c r="L38" s="140">
        <v>1</v>
      </c>
      <c r="M38" s="140">
        <v>1</v>
      </c>
      <c r="N38" s="140">
        <v>1</v>
      </c>
      <c r="O38" s="140">
        <v>1</v>
      </c>
      <c r="P38" s="140">
        <v>1</v>
      </c>
      <c r="Q38" s="140">
        <v>1</v>
      </c>
      <c r="R38" s="140">
        <v>1</v>
      </c>
      <c r="S38" s="140">
        <v>1</v>
      </c>
      <c r="T38" s="140">
        <v>1</v>
      </c>
      <c r="U38" s="140">
        <v>1</v>
      </c>
      <c r="V38" s="140">
        <v>1</v>
      </c>
      <c r="W38" s="140">
        <v>1</v>
      </c>
      <c r="X38" s="140">
        <v>1</v>
      </c>
      <c r="Y38" s="140">
        <v>1</v>
      </c>
      <c r="Z38" s="140">
        <v>1</v>
      </c>
      <c r="AA38" s="140">
        <v>1</v>
      </c>
      <c r="AB38" s="140">
        <v>1</v>
      </c>
      <c r="AC38" s="141">
        <v>1</v>
      </c>
      <c r="AD38" s="49"/>
      <c r="AE38" s="49"/>
      <c r="AF38" s="49"/>
      <c r="AG38" s="49"/>
      <c r="AH38" s="49"/>
      <c r="AI38" s="49"/>
      <c r="AJ38" s="49"/>
      <c r="AK38" s="49"/>
      <c r="AM38" s="59"/>
    </row>
    <row r="39" spans="1:39" ht="38.65" customHeight="1" x14ac:dyDescent="0.25">
      <c r="A39" s="690"/>
      <c r="B39" s="675"/>
      <c r="C39" s="675"/>
      <c r="D39" s="672"/>
      <c r="E39" s="130" t="s">
        <v>507</v>
      </c>
      <c r="F39" s="131">
        <v>1</v>
      </c>
      <c r="G39" s="131">
        <v>1</v>
      </c>
      <c r="H39" s="131">
        <v>1</v>
      </c>
      <c r="I39" s="131">
        <v>1</v>
      </c>
      <c r="J39" s="131">
        <v>1</v>
      </c>
      <c r="K39" s="131">
        <v>1</v>
      </c>
      <c r="L39" s="131">
        <v>1</v>
      </c>
      <c r="M39" s="131">
        <v>1</v>
      </c>
      <c r="N39" s="131">
        <v>1</v>
      </c>
      <c r="O39" s="131">
        <v>1</v>
      </c>
      <c r="P39" s="131">
        <v>1</v>
      </c>
      <c r="Q39" s="131">
        <v>1</v>
      </c>
      <c r="R39" s="131">
        <v>1</v>
      </c>
      <c r="S39" s="131">
        <v>1</v>
      </c>
      <c r="T39" s="131">
        <v>1</v>
      </c>
      <c r="U39" s="131">
        <v>1</v>
      </c>
      <c r="V39" s="131">
        <v>1</v>
      </c>
      <c r="W39" s="131">
        <v>1</v>
      </c>
      <c r="X39" s="131">
        <v>1</v>
      </c>
      <c r="Y39" s="131">
        <v>1</v>
      </c>
      <c r="Z39" s="131">
        <v>1</v>
      </c>
      <c r="AA39" s="131">
        <v>1</v>
      </c>
      <c r="AB39" s="131">
        <v>1</v>
      </c>
      <c r="AC39" s="132">
        <v>1</v>
      </c>
      <c r="AD39" s="49"/>
      <c r="AE39" s="49"/>
      <c r="AF39" s="49"/>
      <c r="AG39" s="49"/>
      <c r="AH39" s="49"/>
      <c r="AI39" s="49"/>
      <c r="AJ39" s="49"/>
      <c r="AK39" s="49"/>
      <c r="AM39" s="59"/>
    </row>
    <row r="40" spans="1:39" ht="38.450000000000003" customHeight="1" thickBot="1" x14ac:dyDescent="0.3">
      <c r="A40" s="691"/>
      <c r="B40" s="676"/>
      <c r="C40" s="676"/>
      <c r="D40" s="673"/>
      <c r="E40" s="136" t="s">
        <v>508</v>
      </c>
      <c r="F40" s="137">
        <v>1</v>
      </c>
      <c r="G40" s="137">
        <v>1</v>
      </c>
      <c r="H40" s="137">
        <v>1</v>
      </c>
      <c r="I40" s="137">
        <v>1</v>
      </c>
      <c r="J40" s="137">
        <v>1</v>
      </c>
      <c r="K40" s="137">
        <v>1</v>
      </c>
      <c r="L40" s="137">
        <v>1</v>
      </c>
      <c r="M40" s="137">
        <v>1</v>
      </c>
      <c r="N40" s="137">
        <v>1</v>
      </c>
      <c r="O40" s="137">
        <v>1</v>
      </c>
      <c r="P40" s="137">
        <v>1</v>
      </c>
      <c r="Q40" s="137">
        <v>1</v>
      </c>
      <c r="R40" s="137">
        <v>1</v>
      </c>
      <c r="S40" s="137">
        <v>1</v>
      </c>
      <c r="T40" s="137">
        <v>1</v>
      </c>
      <c r="U40" s="137">
        <v>1</v>
      </c>
      <c r="V40" s="137">
        <v>1</v>
      </c>
      <c r="W40" s="137">
        <v>1</v>
      </c>
      <c r="X40" s="137">
        <v>1</v>
      </c>
      <c r="Y40" s="137">
        <v>1</v>
      </c>
      <c r="Z40" s="137">
        <v>1</v>
      </c>
      <c r="AA40" s="137">
        <v>1</v>
      </c>
      <c r="AB40" s="137">
        <v>1</v>
      </c>
      <c r="AC40" s="138">
        <v>1</v>
      </c>
      <c r="AD40" s="49"/>
      <c r="AE40" s="49"/>
      <c r="AF40" s="49"/>
      <c r="AG40" s="49"/>
      <c r="AH40" s="49"/>
      <c r="AI40" s="49"/>
      <c r="AJ40" s="49"/>
      <c r="AK40" s="49"/>
      <c r="AM40" s="59"/>
    </row>
    <row r="41" spans="1:39" ht="38.65" customHeight="1" x14ac:dyDescent="0.25">
      <c r="A41" s="689" t="str">
        <f>A29</f>
        <v>Bulk storage</v>
      </c>
      <c r="B41" s="701" t="str">
        <f>B29</f>
        <v>BulkStorage</v>
      </c>
      <c r="C41" s="701" t="s">
        <v>520</v>
      </c>
      <c r="D41" s="671" t="s">
        <v>527</v>
      </c>
      <c r="E41" s="139" t="s">
        <v>509</v>
      </c>
      <c r="F41" s="140">
        <v>0.02</v>
      </c>
      <c r="G41" s="140">
        <v>0.02</v>
      </c>
      <c r="H41" s="140">
        <v>0.02</v>
      </c>
      <c r="I41" s="256">
        <v>0.05</v>
      </c>
      <c r="J41" s="256">
        <v>7.0000000000000007E-2</v>
      </c>
      <c r="K41" s="256">
        <v>0.1</v>
      </c>
      <c r="L41" s="256">
        <v>0.3</v>
      </c>
      <c r="M41" s="256">
        <v>0.36</v>
      </c>
      <c r="N41" s="256">
        <v>0.36</v>
      </c>
      <c r="O41" s="140">
        <v>0.36</v>
      </c>
      <c r="P41" s="140">
        <v>0.36</v>
      </c>
      <c r="Q41" s="140">
        <v>0.46</v>
      </c>
      <c r="R41" s="140">
        <v>0.56999999999999995</v>
      </c>
      <c r="S41" s="140">
        <v>0.43</v>
      </c>
      <c r="T41" s="256">
        <v>0.4</v>
      </c>
      <c r="U41" s="256">
        <v>0.3</v>
      </c>
      <c r="V41" s="256">
        <v>0.18</v>
      </c>
      <c r="W41" s="140">
        <v>0.18</v>
      </c>
      <c r="X41" s="140">
        <v>0.03</v>
      </c>
      <c r="Y41" s="140">
        <v>0.03</v>
      </c>
      <c r="Z41" s="140">
        <v>0.03</v>
      </c>
      <c r="AA41" s="140">
        <v>0.03</v>
      </c>
      <c r="AB41" s="140">
        <v>0.03</v>
      </c>
      <c r="AC41" s="141">
        <v>0.03</v>
      </c>
      <c r="AD41" s="49"/>
      <c r="AE41" s="49"/>
      <c r="AF41" s="49"/>
      <c r="AG41" s="49"/>
      <c r="AH41" s="49"/>
      <c r="AI41" s="49"/>
      <c r="AJ41" s="49"/>
      <c r="AK41" s="49"/>
      <c r="AM41" s="59"/>
    </row>
    <row r="42" spans="1:39" ht="38.65" customHeight="1" x14ac:dyDescent="0.25">
      <c r="A42" s="690"/>
      <c r="B42" s="675"/>
      <c r="C42" s="675"/>
      <c r="D42" s="672"/>
      <c r="E42" s="130" t="s">
        <v>507</v>
      </c>
      <c r="F42" s="444">
        <v>0.02</v>
      </c>
      <c r="G42" s="444">
        <v>0.02</v>
      </c>
      <c r="H42" s="444">
        <v>0.02</v>
      </c>
      <c r="I42" s="444">
        <v>0.05</v>
      </c>
      <c r="J42" s="444">
        <v>7.0000000000000007E-2</v>
      </c>
      <c r="K42" s="444">
        <v>0.1</v>
      </c>
      <c r="L42" s="444">
        <v>0.3</v>
      </c>
      <c r="M42" s="444">
        <v>0.36</v>
      </c>
      <c r="N42" s="444">
        <v>0.36</v>
      </c>
      <c r="O42" s="444">
        <v>0.36</v>
      </c>
      <c r="P42" s="444">
        <v>0.36</v>
      </c>
      <c r="Q42" s="444">
        <v>0.46</v>
      </c>
      <c r="R42" s="444">
        <v>0.56999999999999995</v>
      </c>
      <c r="S42" s="444">
        <v>0.43</v>
      </c>
      <c r="T42" s="444">
        <v>0.4</v>
      </c>
      <c r="U42" s="444">
        <v>0.3</v>
      </c>
      <c r="V42" s="444">
        <v>0.18</v>
      </c>
      <c r="W42" s="444">
        <v>0.18</v>
      </c>
      <c r="X42" s="444">
        <v>0.03</v>
      </c>
      <c r="Y42" s="444">
        <v>0.03</v>
      </c>
      <c r="Z42" s="444">
        <v>0.03</v>
      </c>
      <c r="AA42" s="444">
        <v>0.03</v>
      </c>
      <c r="AB42" s="444">
        <v>0.03</v>
      </c>
      <c r="AC42" s="457">
        <v>0.03</v>
      </c>
      <c r="AD42" s="49"/>
      <c r="AE42" s="49"/>
      <c r="AF42" s="49"/>
      <c r="AG42" s="49"/>
      <c r="AH42" s="49"/>
      <c r="AI42" s="49"/>
      <c r="AJ42" s="49"/>
      <c r="AK42" s="49"/>
      <c r="AM42" s="59"/>
    </row>
    <row r="43" spans="1:39" ht="38.65" customHeight="1" thickBot="1" x14ac:dyDescent="0.3">
      <c r="A43" s="691"/>
      <c r="B43" s="720"/>
      <c r="C43" s="720"/>
      <c r="D43" s="673"/>
      <c r="E43" s="133" t="s">
        <v>508</v>
      </c>
      <c r="F43" s="134">
        <v>0.02</v>
      </c>
      <c r="G43" s="134">
        <v>0.02</v>
      </c>
      <c r="H43" s="134">
        <v>0.02</v>
      </c>
      <c r="I43" s="134">
        <v>0.02</v>
      </c>
      <c r="J43" s="134">
        <v>0.02</v>
      </c>
      <c r="K43" s="134">
        <v>0.02</v>
      </c>
      <c r="L43" s="134">
        <v>0.02</v>
      </c>
      <c r="M43" s="134">
        <v>0.02</v>
      </c>
      <c r="N43" s="134">
        <v>0.02</v>
      </c>
      <c r="O43" s="134">
        <v>0.02</v>
      </c>
      <c r="P43" s="134">
        <v>0.02</v>
      </c>
      <c r="Q43" s="134">
        <v>0.02</v>
      </c>
      <c r="R43" s="134">
        <v>0.04</v>
      </c>
      <c r="S43" s="134">
        <v>0.04</v>
      </c>
      <c r="T43" s="134">
        <v>0.02</v>
      </c>
      <c r="U43" s="134">
        <v>0.02</v>
      </c>
      <c r="V43" s="134">
        <v>0.02</v>
      </c>
      <c r="W43" s="134">
        <v>0.02</v>
      </c>
      <c r="X43" s="134">
        <v>0.02</v>
      </c>
      <c r="Y43" s="134">
        <v>0.02</v>
      </c>
      <c r="Z43" s="134">
        <v>0.02</v>
      </c>
      <c r="AA43" s="134">
        <v>0.02</v>
      </c>
      <c r="AB43" s="134">
        <v>0.02</v>
      </c>
      <c r="AC43" s="135">
        <v>0.02</v>
      </c>
      <c r="AD43" s="49"/>
      <c r="AE43" s="49"/>
      <c r="AF43" s="49"/>
      <c r="AG43" s="49"/>
      <c r="AH43" s="49"/>
      <c r="AI43" s="49"/>
      <c r="AJ43" s="49"/>
      <c r="AK43" s="49"/>
      <c r="AM43" s="59"/>
    </row>
    <row r="44" spans="1:39" ht="38.65" customHeight="1" x14ac:dyDescent="0.25">
      <c r="A44" s="689" t="str">
        <f>A29</f>
        <v>Bulk storage</v>
      </c>
      <c r="B44" s="674" t="str">
        <f>B29</f>
        <v>BulkStorage</v>
      </c>
      <c r="C44" s="674" t="s">
        <v>235</v>
      </c>
      <c r="D44" s="671"/>
      <c r="E44" s="127" t="s">
        <v>509</v>
      </c>
      <c r="F44" s="128">
        <v>1</v>
      </c>
      <c r="G44" s="128">
        <v>1</v>
      </c>
      <c r="H44" s="128">
        <v>1</v>
      </c>
      <c r="I44" s="128">
        <v>1</v>
      </c>
      <c r="J44" s="128">
        <v>1</v>
      </c>
      <c r="K44" s="128">
        <v>1</v>
      </c>
      <c r="L44" s="128">
        <v>1</v>
      </c>
      <c r="M44" s="128">
        <v>1</v>
      </c>
      <c r="N44" s="128">
        <v>1</v>
      </c>
      <c r="O44" s="128">
        <v>1</v>
      </c>
      <c r="P44" s="128">
        <v>1</v>
      </c>
      <c r="Q44" s="128">
        <v>1</v>
      </c>
      <c r="R44" s="128">
        <v>1</v>
      </c>
      <c r="S44" s="128">
        <v>1</v>
      </c>
      <c r="T44" s="128">
        <v>1</v>
      </c>
      <c r="U44" s="128">
        <v>1</v>
      </c>
      <c r="V44" s="128">
        <v>1</v>
      </c>
      <c r="W44" s="128">
        <v>1</v>
      </c>
      <c r="X44" s="128">
        <v>1</v>
      </c>
      <c r="Y44" s="128">
        <v>1</v>
      </c>
      <c r="Z44" s="128">
        <v>1</v>
      </c>
      <c r="AA44" s="128">
        <v>1</v>
      </c>
      <c r="AB44" s="128">
        <v>1</v>
      </c>
      <c r="AC44" s="129">
        <v>1</v>
      </c>
      <c r="AD44" s="49"/>
      <c r="AE44" s="49"/>
      <c r="AF44" s="49"/>
      <c r="AG44" s="49"/>
      <c r="AH44" s="49"/>
      <c r="AI44" s="49"/>
      <c r="AJ44" s="49"/>
      <c r="AK44" s="49"/>
      <c r="AM44" s="59"/>
    </row>
    <row r="45" spans="1:39" ht="38.65" customHeight="1" x14ac:dyDescent="0.25">
      <c r="A45" s="690"/>
      <c r="B45" s="675"/>
      <c r="C45" s="675"/>
      <c r="D45" s="672"/>
      <c r="E45" s="130" t="s">
        <v>507</v>
      </c>
      <c r="F45" s="131">
        <v>1</v>
      </c>
      <c r="G45" s="131">
        <v>1</v>
      </c>
      <c r="H45" s="131">
        <v>1</v>
      </c>
      <c r="I45" s="131">
        <v>1</v>
      </c>
      <c r="J45" s="131">
        <v>1</v>
      </c>
      <c r="K45" s="131">
        <v>1</v>
      </c>
      <c r="L45" s="131">
        <v>1</v>
      </c>
      <c r="M45" s="131">
        <v>1</v>
      </c>
      <c r="N45" s="131">
        <v>1</v>
      </c>
      <c r="O45" s="131">
        <v>1</v>
      </c>
      <c r="P45" s="131">
        <v>1</v>
      </c>
      <c r="Q45" s="131">
        <v>1</v>
      </c>
      <c r="R45" s="131">
        <v>1</v>
      </c>
      <c r="S45" s="131">
        <v>1</v>
      </c>
      <c r="T45" s="131">
        <v>1</v>
      </c>
      <c r="U45" s="131">
        <v>1</v>
      </c>
      <c r="V45" s="131">
        <v>1</v>
      </c>
      <c r="W45" s="131">
        <v>1</v>
      </c>
      <c r="X45" s="131">
        <v>1</v>
      </c>
      <c r="Y45" s="131">
        <v>1</v>
      </c>
      <c r="Z45" s="131">
        <v>1</v>
      </c>
      <c r="AA45" s="131">
        <v>1</v>
      </c>
      <c r="AB45" s="131">
        <v>1</v>
      </c>
      <c r="AC45" s="132">
        <v>1</v>
      </c>
      <c r="AD45" s="49"/>
      <c r="AE45" s="49"/>
      <c r="AF45" s="49"/>
      <c r="AG45" s="49"/>
      <c r="AH45" s="49"/>
      <c r="AI45" s="49"/>
      <c r="AJ45" s="49"/>
      <c r="AK45" s="49"/>
      <c r="AM45" s="59"/>
    </row>
    <row r="46" spans="1:39" ht="38.65" customHeight="1" thickBot="1" x14ac:dyDescent="0.3">
      <c r="A46" s="729"/>
      <c r="B46" s="720"/>
      <c r="C46" s="720"/>
      <c r="D46" s="728"/>
      <c r="E46" s="136" t="s">
        <v>508</v>
      </c>
      <c r="F46" s="137">
        <v>1</v>
      </c>
      <c r="G46" s="137">
        <v>1</v>
      </c>
      <c r="H46" s="137">
        <v>1</v>
      </c>
      <c r="I46" s="137">
        <v>1</v>
      </c>
      <c r="J46" s="137">
        <v>1</v>
      </c>
      <c r="K46" s="137">
        <v>1</v>
      </c>
      <c r="L46" s="137">
        <v>1</v>
      </c>
      <c r="M46" s="137">
        <v>1</v>
      </c>
      <c r="N46" s="137">
        <v>1</v>
      </c>
      <c r="O46" s="137">
        <v>1</v>
      </c>
      <c r="P46" s="137">
        <v>1</v>
      </c>
      <c r="Q46" s="137">
        <v>1</v>
      </c>
      <c r="R46" s="137">
        <v>1</v>
      </c>
      <c r="S46" s="137">
        <v>1</v>
      </c>
      <c r="T46" s="137">
        <v>1</v>
      </c>
      <c r="U46" s="137">
        <v>1</v>
      </c>
      <c r="V46" s="137">
        <v>1</v>
      </c>
      <c r="W46" s="137">
        <v>1</v>
      </c>
      <c r="X46" s="137">
        <v>1</v>
      </c>
      <c r="Y46" s="137">
        <v>1</v>
      </c>
      <c r="Z46" s="137">
        <v>1</v>
      </c>
      <c r="AA46" s="137">
        <v>1</v>
      </c>
      <c r="AB46" s="137">
        <v>1</v>
      </c>
      <c r="AC46" s="138">
        <v>1</v>
      </c>
      <c r="AD46" s="49"/>
      <c r="AE46" s="49"/>
      <c r="AF46" s="49"/>
      <c r="AG46" s="49"/>
      <c r="AH46" s="49"/>
      <c r="AI46" s="49"/>
      <c r="AJ46" s="49"/>
      <c r="AK46" s="49"/>
      <c r="AM46" s="59"/>
    </row>
    <row r="47" spans="1:39" ht="38.65" customHeight="1" x14ac:dyDescent="0.25">
      <c r="A47" s="702" t="str">
        <f>A29</f>
        <v>Bulk storage</v>
      </c>
      <c r="B47" s="674" t="str">
        <f>B29</f>
        <v>BulkStorage</v>
      </c>
      <c r="C47" s="704" t="s">
        <v>521</v>
      </c>
      <c r="D47" s="677" t="s">
        <v>383</v>
      </c>
      <c r="E47" s="127" t="s">
        <v>509</v>
      </c>
      <c r="F47" s="388">
        <f>Thermostat!$C$11</f>
        <v>50</v>
      </c>
      <c r="G47" s="388">
        <f>Thermostat!$C$11</f>
        <v>50</v>
      </c>
      <c r="H47" s="388">
        <f>Thermostat!$C$11</f>
        <v>50</v>
      </c>
      <c r="I47" s="388">
        <f>Thermostat!$C$11</f>
        <v>50</v>
      </c>
      <c r="J47" s="388">
        <f>Thermostat!$C$11</f>
        <v>50</v>
      </c>
      <c r="K47" s="388">
        <f>Thermostat!$C$11</f>
        <v>50</v>
      </c>
      <c r="L47" s="388">
        <f>Thermostat!$C$11</f>
        <v>50</v>
      </c>
      <c r="M47" s="388">
        <f>Thermostat!$C$11</f>
        <v>50</v>
      </c>
      <c r="N47" s="388">
        <f>Thermostat!$C$11</f>
        <v>50</v>
      </c>
      <c r="O47" s="388">
        <f>Thermostat!$C$11</f>
        <v>50</v>
      </c>
      <c r="P47" s="388">
        <f>Thermostat!$C$11</f>
        <v>50</v>
      </c>
      <c r="Q47" s="388">
        <f>Thermostat!$C$11</f>
        <v>50</v>
      </c>
      <c r="R47" s="388">
        <f>Thermostat!$C$11</f>
        <v>50</v>
      </c>
      <c r="S47" s="388">
        <f>Thermostat!$C$11</f>
        <v>50</v>
      </c>
      <c r="T47" s="388">
        <f>Thermostat!$C$11</f>
        <v>50</v>
      </c>
      <c r="U47" s="388">
        <f>Thermostat!$C$11</f>
        <v>50</v>
      </c>
      <c r="V47" s="388">
        <f>Thermostat!$C$11</f>
        <v>50</v>
      </c>
      <c r="W47" s="388">
        <f>Thermostat!$C$11</f>
        <v>50</v>
      </c>
      <c r="X47" s="388">
        <f>Thermostat!$C$11</f>
        <v>50</v>
      </c>
      <c r="Y47" s="388">
        <f>Thermostat!$C$11</f>
        <v>50</v>
      </c>
      <c r="Z47" s="388">
        <f>Thermostat!$C$11</f>
        <v>50</v>
      </c>
      <c r="AA47" s="388">
        <f>Thermostat!$C$11</f>
        <v>50</v>
      </c>
      <c r="AB47" s="388">
        <f>Thermostat!$C$11</f>
        <v>50</v>
      </c>
      <c r="AC47" s="389">
        <f>Thermostat!$C$11</f>
        <v>50</v>
      </c>
      <c r="AD47" s="49"/>
      <c r="AE47" s="49"/>
      <c r="AF47" s="49"/>
      <c r="AG47" s="49"/>
      <c r="AH47" s="49"/>
      <c r="AI47" s="49"/>
      <c r="AJ47" s="49"/>
      <c r="AK47" s="49"/>
      <c r="AM47" s="59"/>
    </row>
    <row r="48" spans="1:39" ht="38.65" customHeight="1" x14ac:dyDescent="0.25">
      <c r="A48" s="690"/>
      <c r="B48" s="675"/>
      <c r="C48" s="705"/>
      <c r="D48" s="672"/>
      <c r="E48" s="130" t="s">
        <v>507</v>
      </c>
      <c r="F48" s="390">
        <f>Thermostat!$C$11</f>
        <v>50</v>
      </c>
      <c r="G48" s="390">
        <f>Thermostat!$C$11</f>
        <v>50</v>
      </c>
      <c r="H48" s="390">
        <f>Thermostat!$C$11</f>
        <v>50</v>
      </c>
      <c r="I48" s="390">
        <f>Thermostat!$C$11</f>
        <v>50</v>
      </c>
      <c r="J48" s="390">
        <f>Thermostat!$C$11</f>
        <v>50</v>
      </c>
      <c r="K48" s="390">
        <f>Thermostat!$C$11</f>
        <v>50</v>
      </c>
      <c r="L48" s="390">
        <f>Thermostat!$C$11</f>
        <v>50</v>
      </c>
      <c r="M48" s="390">
        <f>Thermostat!$C$11</f>
        <v>50</v>
      </c>
      <c r="N48" s="390">
        <f>Thermostat!$C$11</f>
        <v>50</v>
      </c>
      <c r="O48" s="390">
        <f>Thermostat!$C$11</f>
        <v>50</v>
      </c>
      <c r="P48" s="390">
        <f>Thermostat!$C$11</f>
        <v>50</v>
      </c>
      <c r="Q48" s="390">
        <f>Thermostat!$C$11</f>
        <v>50</v>
      </c>
      <c r="R48" s="390">
        <f>Thermostat!$C$11</f>
        <v>50</v>
      </c>
      <c r="S48" s="390">
        <f>Thermostat!$C$11</f>
        <v>50</v>
      </c>
      <c r="T48" s="390">
        <f>Thermostat!$C$11</f>
        <v>50</v>
      </c>
      <c r="U48" s="390">
        <f>Thermostat!$C$11</f>
        <v>50</v>
      </c>
      <c r="V48" s="390">
        <f>Thermostat!$C$11</f>
        <v>50</v>
      </c>
      <c r="W48" s="390">
        <f>Thermostat!$C$11</f>
        <v>50</v>
      </c>
      <c r="X48" s="390">
        <f>Thermostat!$C$11</f>
        <v>50</v>
      </c>
      <c r="Y48" s="390">
        <f>Thermostat!$C$11</f>
        <v>50</v>
      </c>
      <c r="Z48" s="390">
        <f>Thermostat!$C$11</f>
        <v>50</v>
      </c>
      <c r="AA48" s="390">
        <f>Thermostat!$C$11</f>
        <v>50</v>
      </c>
      <c r="AB48" s="390">
        <f>Thermostat!$C$11</f>
        <v>50</v>
      </c>
      <c r="AC48" s="391">
        <f>Thermostat!$C$11</f>
        <v>50</v>
      </c>
      <c r="AD48" s="49"/>
      <c r="AE48" s="49"/>
      <c r="AF48" s="49"/>
      <c r="AG48" s="49"/>
      <c r="AH48" s="49"/>
      <c r="AI48" s="49"/>
      <c r="AJ48" s="49"/>
      <c r="AK48" s="49"/>
      <c r="AM48" s="59"/>
    </row>
    <row r="49" spans="1:39" ht="38.65" customHeight="1" x14ac:dyDescent="0.25">
      <c r="A49" s="703"/>
      <c r="B49" s="676"/>
      <c r="C49" s="706"/>
      <c r="D49" s="673"/>
      <c r="E49" s="136" t="s">
        <v>508</v>
      </c>
      <c r="F49" s="392">
        <f>Thermostat!$C$11</f>
        <v>50</v>
      </c>
      <c r="G49" s="392">
        <f>Thermostat!$C$11</f>
        <v>50</v>
      </c>
      <c r="H49" s="392">
        <f>Thermostat!$C$11</f>
        <v>50</v>
      </c>
      <c r="I49" s="392">
        <f>Thermostat!$C$11</f>
        <v>50</v>
      </c>
      <c r="J49" s="392">
        <f>Thermostat!$C$11</f>
        <v>50</v>
      </c>
      <c r="K49" s="392">
        <f>Thermostat!$C$11</f>
        <v>50</v>
      </c>
      <c r="L49" s="392">
        <f>Thermostat!$C$11</f>
        <v>50</v>
      </c>
      <c r="M49" s="392">
        <f>Thermostat!$C$11</f>
        <v>50</v>
      </c>
      <c r="N49" s="392">
        <f>Thermostat!$C$11</f>
        <v>50</v>
      </c>
      <c r="O49" s="392">
        <f>Thermostat!$C$11</f>
        <v>50</v>
      </c>
      <c r="P49" s="392">
        <f>Thermostat!$C$11</f>
        <v>50</v>
      </c>
      <c r="Q49" s="392">
        <f>Thermostat!$C$11</f>
        <v>50</v>
      </c>
      <c r="R49" s="392">
        <f>Thermostat!$C$11</f>
        <v>50</v>
      </c>
      <c r="S49" s="392">
        <f>Thermostat!$C$11</f>
        <v>50</v>
      </c>
      <c r="T49" s="392">
        <f>Thermostat!$C$11</f>
        <v>50</v>
      </c>
      <c r="U49" s="392">
        <f>Thermostat!$C$11</f>
        <v>50</v>
      </c>
      <c r="V49" s="392">
        <f>Thermostat!$C$11</f>
        <v>50</v>
      </c>
      <c r="W49" s="392">
        <f>Thermostat!$C$11</f>
        <v>50</v>
      </c>
      <c r="X49" s="392">
        <f>Thermostat!$C$11</f>
        <v>50</v>
      </c>
      <c r="Y49" s="392">
        <f>Thermostat!$C$11</f>
        <v>50</v>
      </c>
      <c r="Z49" s="392">
        <f>Thermostat!$C$11</f>
        <v>50</v>
      </c>
      <c r="AA49" s="392">
        <f>Thermostat!$C$11</f>
        <v>50</v>
      </c>
      <c r="AB49" s="392">
        <f>Thermostat!$C$11</f>
        <v>50</v>
      </c>
      <c r="AC49" s="393">
        <f>Thermostat!$C$11</f>
        <v>50</v>
      </c>
      <c r="AD49" s="49"/>
      <c r="AE49" s="49"/>
      <c r="AF49" s="49"/>
      <c r="AG49" s="49"/>
      <c r="AH49" s="49"/>
      <c r="AI49" s="49"/>
      <c r="AJ49" s="49"/>
      <c r="AK49" s="49"/>
      <c r="AM49" s="59"/>
    </row>
    <row r="50" spans="1:39" ht="38.65" customHeight="1" x14ac:dyDescent="0.25">
      <c r="A50" s="702" t="str">
        <f>A32</f>
        <v>Bulk storage</v>
      </c>
      <c r="B50" s="674" t="str">
        <f>B32</f>
        <v>BulkStorage</v>
      </c>
      <c r="C50" s="704" t="s">
        <v>528</v>
      </c>
      <c r="D50" s="677" t="s">
        <v>529</v>
      </c>
      <c r="E50" s="433" t="s">
        <v>509</v>
      </c>
      <c r="F50" s="434">
        <v>0.2</v>
      </c>
      <c r="G50" s="434">
        <v>0.2</v>
      </c>
      <c r="H50" s="434">
        <v>0.2</v>
      </c>
      <c r="I50" s="434">
        <v>0.2</v>
      </c>
      <c r="J50" s="434">
        <v>0.2</v>
      </c>
      <c r="K50" s="434">
        <v>0.2</v>
      </c>
      <c r="L50" s="434">
        <v>0.2</v>
      </c>
      <c r="M50" s="434">
        <v>0.2</v>
      </c>
      <c r="N50" s="434">
        <v>0.2</v>
      </c>
      <c r="O50" s="434">
        <v>0.2</v>
      </c>
      <c r="P50" s="434">
        <v>0.2</v>
      </c>
      <c r="Q50" s="434">
        <v>0.2</v>
      </c>
      <c r="R50" s="434">
        <v>0.2</v>
      </c>
      <c r="S50" s="434">
        <v>0.2</v>
      </c>
      <c r="T50" s="434">
        <v>0.2</v>
      </c>
      <c r="U50" s="434">
        <v>0.2</v>
      </c>
      <c r="V50" s="434">
        <v>0.5</v>
      </c>
      <c r="W50" s="434">
        <v>0.5</v>
      </c>
      <c r="X50" s="434">
        <v>1</v>
      </c>
      <c r="Y50" s="434">
        <v>1</v>
      </c>
      <c r="Z50" s="434">
        <v>1</v>
      </c>
      <c r="AA50" s="434">
        <v>1</v>
      </c>
      <c r="AB50" s="434">
        <v>1</v>
      </c>
      <c r="AC50" s="435">
        <v>1</v>
      </c>
      <c r="AD50" s="49"/>
      <c r="AE50" s="49"/>
      <c r="AF50" s="49"/>
      <c r="AG50" s="49"/>
      <c r="AH50" s="49"/>
      <c r="AI50" s="49"/>
      <c r="AJ50" s="49"/>
      <c r="AK50" s="49"/>
      <c r="AM50" s="59"/>
    </row>
    <row r="51" spans="1:39" ht="38.65" customHeight="1" x14ac:dyDescent="0.25">
      <c r="A51" s="690"/>
      <c r="B51" s="675"/>
      <c r="C51" s="705"/>
      <c r="D51" s="672"/>
      <c r="E51" s="130" t="s">
        <v>507</v>
      </c>
      <c r="F51" s="459">
        <v>0.2</v>
      </c>
      <c r="G51" s="459">
        <v>0.2</v>
      </c>
      <c r="H51" s="459">
        <v>0.2</v>
      </c>
      <c r="I51" s="459">
        <v>0.2</v>
      </c>
      <c r="J51" s="459">
        <v>0.2</v>
      </c>
      <c r="K51" s="459">
        <v>0.2</v>
      </c>
      <c r="L51" s="459">
        <v>0.2</v>
      </c>
      <c r="M51" s="459">
        <v>0.2</v>
      </c>
      <c r="N51" s="459">
        <v>0.2</v>
      </c>
      <c r="O51" s="459">
        <v>0.2</v>
      </c>
      <c r="P51" s="459">
        <v>0.2</v>
      </c>
      <c r="Q51" s="459">
        <v>0.2</v>
      </c>
      <c r="R51" s="459">
        <v>0.2</v>
      </c>
      <c r="S51" s="459">
        <v>0.2</v>
      </c>
      <c r="T51" s="459">
        <v>0.2</v>
      </c>
      <c r="U51" s="459">
        <v>0.2</v>
      </c>
      <c r="V51" s="459">
        <v>0.5</v>
      </c>
      <c r="W51" s="459">
        <v>0.5</v>
      </c>
      <c r="X51" s="459">
        <v>1</v>
      </c>
      <c r="Y51" s="459">
        <v>1</v>
      </c>
      <c r="Z51" s="459">
        <v>1</v>
      </c>
      <c r="AA51" s="459">
        <v>1</v>
      </c>
      <c r="AB51" s="459">
        <v>1</v>
      </c>
      <c r="AC51" s="460">
        <v>1</v>
      </c>
      <c r="AD51" s="49"/>
      <c r="AE51" s="49"/>
      <c r="AF51" s="49"/>
      <c r="AG51" s="49"/>
      <c r="AH51" s="49"/>
      <c r="AI51" s="49"/>
      <c r="AJ51" s="49"/>
      <c r="AK51" s="49"/>
      <c r="AM51" s="59"/>
    </row>
    <row r="52" spans="1:39" ht="38.65" customHeight="1" thickBot="1" x14ac:dyDescent="0.3">
      <c r="A52" s="729"/>
      <c r="B52" s="720"/>
      <c r="C52" s="730"/>
      <c r="D52" s="728"/>
      <c r="E52" s="133" t="s">
        <v>508</v>
      </c>
      <c r="F52" s="437">
        <v>0.05</v>
      </c>
      <c r="G52" s="437">
        <v>0.05</v>
      </c>
      <c r="H52" s="437">
        <v>0.05</v>
      </c>
      <c r="I52" s="437">
        <v>0.05</v>
      </c>
      <c r="J52" s="437">
        <v>0.05</v>
      </c>
      <c r="K52" s="437">
        <v>0.05</v>
      </c>
      <c r="L52" s="437">
        <v>0.05</v>
      </c>
      <c r="M52" s="437">
        <v>0.05</v>
      </c>
      <c r="N52" s="437">
        <v>0.05</v>
      </c>
      <c r="O52" s="437">
        <v>0.05</v>
      </c>
      <c r="P52" s="437">
        <v>0.05</v>
      </c>
      <c r="Q52" s="437">
        <v>0.05</v>
      </c>
      <c r="R52" s="437">
        <v>0.05</v>
      </c>
      <c r="S52" s="437">
        <v>0.05</v>
      </c>
      <c r="T52" s="437">
        <v>0.05</v>
      </c>
      <c r="U52" s="437">
        <v>0.05</v>
      </c>
      <c r="V52" s="437">
        <v>0.05</v>
      </c>
      <c r="W52" s="437">
        <v>0.05</v>
      </c>
      <c r="X52" s="437">
        <v>0.05</v>
      </c>
      <c r="Y52" s="437">
        <v>0.05</v>
      </c>
      <c r="Z52" s="437">
        <v>0.05</v>
      </c>
      <c r="AA52" s="437">
        <v>0.05</v>
      </c>
      <c r="AB52" s="437">
        <v>0.05</v>
      </c>
      <c r="AC52" s="438">
        <v>0.05</v>
      </c>
      <c r="AD52" s="49"/>
      <c r="AE52" s="49"/>
      <c r="AF52" s="49"/>
      <c r="AG52" s="49"/>
      <c r="AH52" s="49"/>
      <c r="AI52" s="49"/>
      <c r="AJ52" s="49"/>
      <c r="AK52" s="49"/>
      <c r="AM52" s="59"/>
    </row>
    <row r="53" spans="1:39" ht="38.65" customHeight="1" x14ac:dyDescent="0.25">
      <c r="A53" s="707" t="str">
        <f>A35</f>
        <v>Bulk storage</v>
      </c>
      <c r="B53" s="768" t="str">
        <f>B35</f>
        <v>BulkStorage</v>
      </c>
      <c r="C53" s="770" t="s">
        <v>530</v>
      </c>
      <c r="D53" s="772"/>
      <c r="E53" s="448" t="s">
        <v>509</v>
      </c>
      <c r="F53" s="449">
        <f>Envelope!AC38</f>
        <v>0.36363636363636365</v>
      </c>
      <c r="G53" s="449">
        <v>0.36</v>
      </c>
      <c r="H53" s="449">
        <v>0.36</v>
      </c>
      <c r="I53" s="449">
        <v>0.36</v>
      </c>
      <c r="J53" s="449">
        <v>0.36</v>
      </c>
      <c r="K53" s="449">
        <v>0.36</v>
      </c>
      <c r="L53" s="449">
        <v>0.36</v>
      </c>
      <c r="M53" s="449">
        <v>1</v>
      </c>
      <c r="N53" s="449">
        <v>1</v>
      </c>
      <c r="O53" s="449">
        <v>1</v>
      </c>
      <c r="P53" s="449">
        <v>1</v>
      </c>
      <c r="Q53" s="449">
        <v>1</v>
      </c>
      <c r="R53" s="449">
        <v>0.36</v>
      </c>
      <c r="S53" s="449">
        <v>0.36</v>
      </c>
      <c r="T53" s="449">
        <v>0.36</v>
      </c>
      <c r="U53" s="449">
        <v>0.36</v>
      </c>
      <c r="V53" s="449">
        <v>0.36</v>
      </c>
      <c r="W53" s="449">
        <v>0.36</v>
      </c>
      <c r="X53" s="449">
        <v>0.36</v>
      </c>
      <c r="Y53" s="449">
        <v>0.36</v>
      </c>
      <c r="Z53" s="449">
        <v>0.36</v>
      </c>
      <c r="AA53" s="449">
        <v>0.36</v>
      </c>
      <c r="AB53" s="449">
        <v>0.36</v>
      </c>
      <c r="AC53" s="450">
        <v>0.36</v>
      </c>
      <c r="AD53" s="49"/>
      <c r="AE53" s="49"/>
      <c r="AF53" s="49"/>
      <c r="AG53" s="49"/>
      <c r="AH53" s="49"/>
      <c r="AI53" s="49"/>
      <c r="AJ53" s="49"/>
      <c r="AK53" s="49"/>
      <c r="AM53" s="59"/>
    </row>
    <row r="54" spans="1:39" ht="38.65" customHeight="1" x14ac:dyDescent="0.25">
      <c r="A54" s="708"/>
      <c r="B54" s="675"/>
      <c r="C54" s="705"/>
      <c r="D54" s="733"/>
      <c r="E54" s="406" t="s">
        <v>507</v>
      </c>
      <c r="F54" s="447">
        <v>0.36</v>
      </c>
      <c r="G54" s="447">
        <v>0.36</v>
      </c>
      <c r="H54" s="447">
        <v>0.36</v>
      </c>
      <c r="I54" s="447">
        <v>0.36</v>
      </c>
      <c r="J54" s="447">
        <v>0.36</v>
      </c>
      <c r="K54" s="447">
        <v>0.36</v>
      </c>
      <c r="L54" s="447">
        <v>0.36</v>
      </c>
      <c r="M54" s="447">
        <v>1</v>
      </c>
      <c r="N54" s="447">
        <v>1</v>
      </c>
      <c r="O54" s="447">
        <v>1</v>
      </c>
      <c r="P54" s="447">
        <v>1</v>
      </c>
      <c r="Q54" s="447">
        <v>1</v>
      </c>
      <c r="R54" s="447">
        <v>0.36</v>
      </c>
      <c r="S54" s="447">
        <v>0.36</v>
      </c>
      <c r="T54" s="447">
        <v>0.36</v>
      </c>
      <c r="U54" s="447">
        <v>0.36</v>
      </c>
      <c r="V54" s="447">
        <v>0.36</v>
      </c>
      <c r="W54" s="447">
        <v>0.36</v>
      </c>
      <c r="X54" s="447">
        <v>0.36</v>
      </c>
      <c r="Y54" s="447">
        <v>0.36</v>
      </c>
      <c r="Z54" s="447">
        <v>0.36</v>
      </c>
      <c r="AA54" s="447">
        <v>0.36</v>
      </c>
      <c r="AB54" s="447">
        <v>0.36</v>
      </c>
      <c r="AC54" s="451">
        <v>0.36</v>
      </c>
      <c r="AD54" s="49"/>
      <c r="AE54" s="49"/>
      <c r="AF54" s="49"/>
      <c r="AG54" s="49"/>
      <c r="AH54" s="49"/>
      <c r="AI54" s="49"/>
      <c r="AJ54" s="49"/>
      <c r="AK54" s="49"/>
      <c r="AM54" s="59"/>
    </row>
    <row r="55" spans="1:39" ht="38.65" customHeight="1" thickBot="1" x14ac:dyDescent="0.3">
      <c r="A55" s="709"/>
      <c r="B55" s="769"/>
      <c r="C55" s="771"/>
      <c r="D55" s="773"/>
      <c r="E55" s="409" t="s">
        <v>508</v>
      </c>
      <c r="F55" s="452">
        <v>0.36</v>
      </c>
      <c r="G55" s="452">
        <v>0.36</v>
      </c>
      <c r="H55" s="452">
        <v>0.36</v>
      </c>
      <c r="I55" s="452">
        <v>0.36</v>
      </c>
      <c r="J55" s="452">
        <v>0.36</v>
      </c>
      <c r="K55" s="452">
        <v>0.36</v>
      </c>
      <c r="L55" s="452">
        <v>0.36</v>
      </c>
      <c r="M55" s="452">
        <v>0.36</v>
      </c>
      <c r="N55" s="452">
        <v>0.36</v>
      </c>
      <c r="O55" s="452">
        <v>0.36</v>
      </c>
      <c r="P55" s="452">
        <v>0.36</v>
      </c>
      <c r="Q55" s="452">
        <v>0.36</v>
      </c>
      <c r="R55" s="452">
        <v>0.36</v>
      </c>
      <c r="S55" s="452">
        <v>0.36</v>
      </c>
      <c r="T55" s="452">
        <v>0.36</v>
      </c>
      <c r="U55" s="452">
        <v>0.36</v>
      </c>
      <c r="V55" s="452">
        <v>0.36</v>
      </c>
      <c r="W55" s="452">
        <v>0.36</v>
      </c>
      <c r="X55" s="452">
        <v>0.36</v>
      </c>
      <c r="Y55" s="452">
        <v>0.36</v>
      </c>
      <c r="Z55" s="452">
        <v>0.36</v>
      </c>
      <c r="AA55" s="452">
        <v>0.36</v>
      </c>
      <c r="AB55" s="452">
        <v>0.36</v>
      </c>
      <c r="AC55" s="453">
        <v>0.36</v>
      </c>
      <c r="AD55" s="49"/>
      <c r="AE55" s="49"/>
      <c r="AF55" s="49"/>
      <c r="AG55" s="49"/>
      <c r="AH55" s="49"/>
      <c r="AI55" s="49"/>
      <c r="AJ55" s="49"/>
      <c r="AK55" s="49"/>
      <c r="AM55" s="59"/>
    </row>
    <row r="56" spans="1:39" ht="29.45" customHeight="1" thickBot="1" x14ac:dyDescent="0.3">
      <c r="A56" s="678" t="s">
        <v>164</v>
      </c>
      <c r="B56" s="678"/>
      <c r="C56" s="678"/>
      <c r="D56" s="678"/>
      <c r="E56" s="678"/>
      <c r="F56" s="678"/>
      <c r="G56" s="678"/>
      <c r="H56" s="678"/>
      <c r="I56" s="678"/>
      <c r="J56" s="678"/>
      <c r="K56" s="678"/>
      <c r="L56" s="678"/>
      <c r="M56" s="678"/>
      <c r="N56" s="678"/>
      <c r="O56" s="678"/>
      <c r="P56" s="678"/>
      <c r="Q56" s="678"/>
      <c r="R56" s="678"/>
      <c r="S56" s="678"/>
      <c r="T56" s="678"/>
      <c r="U56" s="678"/>
      <c r="V56" s="678"/>
      <c r="W56" s="678"/>
      <c r="X56" s="678"/>
      <c r="Y56" s="678"/>
      <c r="Z56" s="678"/>
      <c r="AA56" s="678"/>
      <c r="AB56" s="678"/>
      <c r="AC56" s="679"/>
      <c r="AD56" s="50"/>
      <c r="AE56" s="49"/>
      <c r="AF56" s="49"/>
      <c r="AG56" s="49"/>
      <c r="AH56" s="49"/>
      <c r="AI56" s="49"/>
      <c r="AJ56" s="49"/>
      <c r="AK56" s="49"/>
    </row>
    <row r="57" spans="1:39" ht="33" customHeight="1" x14ac:dyDescent="0.25">
      <c r="A57" s="707" t="s">
        <v>164</v>
      </c>
      <c r="B57" s="724" t="s">
        <v>164</v>
      </c>
      <c r="C57" s="726" t="s">
        <v>531</v>
      </c>
      <c r="D57" s="765" t="s">
        <v>532</v>
      </c>
      <c r="E57" s="142" t="s">
        <v>509</v>
      </c>
      <c r="F57" s="143">
        <v>0</v>
      </c>
      <c r="G57" s="143">
        <v>0</v>
      </c>
      <c r="H57" s="143">
        <v>0</v>
      </c>
      <c r="I57" s="143">
        <v>0</v>
      </c>
      <c r="J57" s="143">
        <v>0</v>
      </c>
      <c r="K57" s="143">
        <v>0</v>
      </c>
      <c r="L57" s="143">
        <v>0.1</v>
      </c>
      <c r="M57" s="143">
        <v>0.2</v>
      </c>
      <c r="N57" s="143">
        <v>0.95</v>
      </c>
      <c r="O57" s="143">
        <v>0.95</v>
      </c>
      <c r="P57" s="143">
        <v>0.95</v>
      </c>
      <c r="Q57" s="143">
        <v>0.95</v>
      </c>
      <c r="R57" s="143">
        <v>0.5</v>
      </c>
      <c r="S57" s="143">
        <v>0.95</v>
      </c>
      <c r="T57" s="143">
        <v>0.95</v>
      </c>
      <c r="U57" s="143">
        <v>0.95</v>
      </c>
      <c r="V57" s="143">
        <v>0.95</v>
      </c>
      <c r="W57" s="143">
        <v>0.3</v>
      </c>
      <c r="X57" s="143">
        <v>0.1</v>
      </c>
      <c r="Y57" s="143">
        <v>0.1</v>
      </c>
      <c r="Z57" s="143">
        <v>0.1</v>
      </c>
      <c r="AA57" s="143">
        <v>0.1</v>
      </c>
      <c r="AB57" s="143">
        <v>0.05</v>
      </c>
      <c r="AC57" s="144">
        <v>0.05</v>
      </c>
      <c r="AD57" s="49"/>
      <c r="AE57" s="49"/>
      <c r="AF57" s="49"/>
      <c r="AG57" s="49"/>
      <c r="AH57" s="49"/>
      <c r="AI57" s="49"/>
      <c r="AJ57" s="49"/>
      <c r="AK57" s="49"/>
    </row>
    <row r="58" spans="1:39" ht="33" customHeight="1" x14ac:dyDescent="0.25">
      <c r="A58" s="708"/>
      <c r="B58" s="681"/>
      <c r="C58" s="684"/>
      <c r="D58" s="766"/>
      <c r="E58" s="145" t="s">
        <v>507</v>
      </c>
      <c r="F58" s="146">
        <v>0</v>
      </c>
      <c r="G58" s="146">
        <v>0</v>
      </c>
      <c r="H58" s="146">
        <v>0</v>
      </c>
      <c r="I58" s="146">
        <v>0</v>
      </c>
      <c r="J58" s="146">
        <v>0</v>
      </c>
      <c r="K58" s="146">
        <v>0</v>
      </c>
      <c r="L58" s="394">
        <v>0.05</v>
      </c>
      <c r="M58" s="394">
        <v>0.05</v>
      </c>
      <c r="N58" s="394">
        <v>0.05</v>
      </c>
      <c r="O58" s="394">
        <v>0.05</v>
      </c>
      <c r="P58" s="394">
        <v>0.05</v>
      </c>
      <c r="Q58" s="394">
        <v>0.05</v>
      </c>
      <c r="R58" s="394">
        <v>0.05</v>
      </c>
      <c r="S58" s="394">
        <v>0.05</v>
      </c>
      <c r="T58" s="394">
        <v>0.05</v>
      </c>
      <c r="U58" s="394">
        <v>0.05</v>
      </c>
      <c r="V58" s="394">
        <v>0.05</v>
      </c>
      <c r="W58" s="394">
        <v>0.05</v>
      </c>
      <c r="X58" s="395">
        <v>0</v>
      </c>
      <c r="Y58" s="146">
        <v>0</v>
      </c>
      <c r="Z58" s="146">
        <v>0</v>
      </c>
      <c r="AA58" s="146">
        <v>0</v>
      </c>
      <c r="AB58" s="146">
        <v>0</v>
      </c>
      <c r="AC58" s="147">
        <v>0</v>
      </c>
      <c r="AD58" s="49"/>
      <c r="AE58" s="49"/>
      <c r="AF58" s="49"/>
      <c r="AG58" s="49"/>
      <c r="AH58" s="49"/>
      <c r="AI58" s="49"/>
      <c r="AJ58" s="49"/>
      <c r="AK58" s="49"/>
    </row>
    <row r="59" spans="1:39" ht="33" customHeight="1" thickBot="1" x14ac:dyDescent="0.3">
      <c r="A59" s="709"/>
      <c r="B59" s="725"/>
      <c r="C59" s="727"/>
      <c r="D59" s="767"/>
      <c r="E59" s="148" t="s">
        <v>508</v>
      </c>
      <c r="F59" s="149">
        <v>0</v>
      </c>
      <c r="G59" s="149">
        <v>0</v>
      </c>
      <c r="H59" s="149">
        <v>0</v>
      </c>
      <c r="I59" s="149">
        <v>0</v>
      </c>
      <c r="J59" s="149">
        <v>0</v>
      </c>
      <c r="K59" s="149">
        <v>0</v>
      </c>
      <c r="L59" s="149">
        <v>0.05</v>
      </c>
      <c r="M59" s="149">
        <v>0.05</v>
      </c>
      <c r="N59" s="149">
        <v>0.05</v>
      </c>
      <c r="O59" s="149">
        <v>0.05</v>
      </c>
      <c r="P59" s="149">
        <v>0.05</v>
      </c>
      <c r="Q59" s="149">
        <v>0.05</v>
      </c>
      <c r="R59" s="149">
        <v>0.05</v>
      </c>
      <c r="S59" s="149">
        <v>0.05</v>
      </c>
      <c r="T59" s="149">
        <v>0.05</v>
      </c>
      <c r="U59" s="149">
        <v>0.05</v>
      </c>
      <c r="V59" s="149">
        <v>0.05</v>
      </c>
      <c r="W59" s="149">
        <v>0.05</v>
      </c>
      <c r="X59" s="149">
        <v>0</v>
      </c>
      <c r="Y59" s="149">
        <v>0</v>
      </c>
      <c r="Z59" s="149">
        <v>0</v>
      </c>
      <c r="AA59" s="149">
        <v>0</v>
      </c>
      <c r="AB59" s="149">
        <v>0</v>
      </c>
      <c r="AC59" s="150">
        <v>0</v>
      </c>
      <c r="AD59" s="49"/>
      <c r="AE59" s="49"/>
      <c r="AF59" s="49"/>
      <c r="AG59" s="49"/>
      <c r="AH59" s="49"/>
      <c r="AI59" s="49"/>
      <c r="AJ59" s="49"/>
      <c r="AK59" s="49"/>
    </row>
    <row r="60" spans="1:39" ht="34.9" customHeight="1" x14ac:dyDescent="0.25">
      <c r="A60" s="745" t="str">
        <f>A57</f>
        <v>Office</v>
      </c>
      <c r="B60" s="681" t="s">
        <v>164</v>
      </c>
      <c r="C60" s="714" t="s">
        <v>514</v>
      </c>
      <c r="D60" s="716" t="s">
        <v>533</v>
      </c>
      <c r="E60" s="396" t="s">
        <v>509</v>
      </c>
      <c r="F60" s="143">
        <v>0.05</v>
      </c>
      <c r="G60" s="143">
        <v>0.05</v>
      </c>
      <c r="H60" s="143">
        <v>0.05</v>
      </c>
      <c r="I60" s="143">
        <v>0.05</v>
      </c>
      <c r="J60" s="143">
        <v>0.05</v>
      </c>
      <c r="K60" s="397">
        <v>0.1</v>
      </c>
      <c r="L60" s="397">
        <v>0.1</v>
      </c>
      <c r="M60" s="397">
        <v>0.3</v>
      </c>
      <c r="N60" s="397">
        <v>0.65</v>
      </c>
      <c r="O60" s="397">
        <v>0.65</v>
      </c>
      <c r="P60" s="397">
        <v>0.65</v>
      </c>
      <c r="Q60" s="397">
        <v>0.65</v>
      </c>
      <c r="R60" s="397">
        <v>0.65</v>
      </c>
      <c r="S60" s="397">
        <v>0.65</v>
      </c>
      <c r="T60" s="397">
        <v>0.65</v>
      </c>
      <c r="U60" s="397">
        <v>0.65</v>
      </c>
      <c r="V60" s="397">
        <v>0.65</v>
      </c>
      <c r="W60" s="397">
        <v>0.35</v>
      </c>
      <c r="X60" s="397">
        <v>0.3</v>
      </c>
      <c r="Y60" s="397">
        <v>0.3</v>
      </c>
      <c r="Z60" s="143">
        <v>0.2</v>
      </c>
      <c r="AA60" s="143">
        <v>0.2</v>
      </c>
      <c r="AB60" s="143">
        <v>0.1</v>
      </c>
      <c r="AC60" s="144">
        <v>0.05</v>
      </c>
      <c r="AD60" s="49"/>
      <c r="AE60" s="49"/>
      <c r="AF60" s="49"/>
      <c r="AG60" s="49"/>
      <c r="AH60" s="49"/>
      <c r="AI60" s="49"/>
      <c r="AJ60" s="49"/>
      <c r="AK60" s="49"/>
      <c r="AM60" s="59"/>
    </row>
    <row r="61" spans="1:39" ht="36" customHeight="1" x14ac:dyDescent="0.25">
      <c r="A61" s="742"/>
      <c r="B61" s="681"/>
      <c r="C61" s="684"/>
      <c r="D61" s="716"/>
      <c r="E61" s="398" t="s">
        <v>507</v>
      </c>
      <c r="F61" s="146">
        <v>0.05</v>
      </c>
      <c r="G61" s="146">
        <v>0.05</v>
      </c>
      <c r="H61" s="146">
        <v>0.05</v>
      </c>
      <c r="I61" s="146">
        <v>0.05</v>
      </c>
      <c r="J61" s="146">
        <v>0.05</v>
      </c>
      <c r="K61" s="395">
        <v>0.05</v>
      </c>
      <c r="L61" s="395">
        <v>0.05</v>
      </c>
      <c r="M61" s="395">
        <v>0.05</v>
      </c>
      <c r="N61" s="395">
        <v>0.05</v>
      </c>
      <c r="O61" s="395">
        <v>0.05</v>
      </c>
      <c r="P61" s="395">
        <v>0.05</v>
      </c>
      <c r="Q61" s="395">
        <v>0.05</v>
      </c>
      <c r="R61" s="395">
        <v>0.05</v>
      </c>
      <c r="S61" s="395">
        <v>0.05</v>
      </c>
      <c r="T61" s="395">
        <v>0.05</v>
      </c>
      <c r="U61" s="395">
        <v>0.05</v>
      </c>
      <c r="V61" s="395">
        <v>0.05</v>
      </c>
      <c r="W61" s="146">
        <v>0.05</v>
      </c>
      <c r="X61" s="146">
        <v>0.05</v>
      </c>
      <c r="Y61" s="146">
        <v>0.05</v>
      </c>
      <c r="Z61" s="146">
        <v>0.05</v>
      </c>
      <c r="AA61" s="146">
        <v>0.05</v>
      </c>
      <c r="AB61" s="146">
        <v>0.05</v>
      </c>
      <c r="AC61" s="147">
        <v>0.05</v>
      </c>
      <c r="AD61" s="49"/>
      <c r="AE61" s="49"/>
      <c r="AF61" s="49"/>
      <c r="AG61" s="49"/>
      <c r="AH61" s="49"/>
      <c r="AI61" s="49"/>
      <c r="AJ61" s="49"/>
      <c r="AK61" s="49"/>
      <c r="AM61" s="59"/>
    </row>
    <row r="62" spans="1:39" ht="32.450000000000003" customHeight="1" thickBot="1" x14ac:dyDescent="0.3">
      <c r="A62" s="743"/>
      <c r="B62" s="682"/>
      <c r="C62" s="715"/>
      <c r="D62" s="717"/>
      <c r="E62" s="399" t="s">
        <v>508</v>
      </c>
      <c r="F62" s="151">
        <v>0.05</v>
      </c>
      <c r="G62" s="151">
        <v>0.05</v>
      </c>
      <c r="H62" s="151">
        <v>0.05</v>
      </c>
      <c r="I62" s="151">
        <v>0.05</v>
      </c>
      <c r="J62" s="151">
        <v>0.05</v>
      </c>
      <c r="K62" s="151">
        <v>0.05</v>
      </c>
      <c r="L62" s="151">
        <v>0.05</v>
      </c>
      <c r="M62" s="151">
        <v>0.05</v>
      </c>
      <c r="N62" s="151">
        <v>0.05</v>
      </c>
      <c r="O62" s="151">
        <v>0.05</v>
      </c>
      <c r="P62" s="151">
        <v>0.05</v>
      </c>
      <c r="Q62" s="151">
        <v>0.05</v>
      </c>
      <c r="R62" s="151">
        <v>0.05</v>
      </c>
      <c r="S62" s="151">
        <v>0.05</v>
      </c>
      <c r="T62" s="151">
        <v>0.05</v>
      </c>
      <c r="U62" s="151">
        <v>0.05</v>
      </c>
      <c r="V62" s="151">
        <v>0.05</v>
      </c>
      <c r="W62" s="151">
        <v>0.05</v>
      </c>
      <c r="X62" s="151">
        <v>0.05</v>
      </c>
      <c r="Y62" s="151">
        <v>0.05</v>
      </c>
      <c r="Z62" s="151">
        <v>0.05</v>
      </c>
      <c r="AA62" s="151">
        <v>0.05</v>
      </c>
      <c r="AB62" s="151">
        <v>0.05</v>
      </c>
      <c r="AC62" s="152">
        <v>0.05</v>
      </c>
      <c r="AD62" s="49"/>
      <c r="AE62" s="49"/>
      <c r="AF62" s="49"/>
      <c r="AG62" s="49"/>
      <c r="AH62" s="49"/>
      <c r="AI62" s="49"/>
      <c r="AJ62" s="49"/>
      <c r="AK62" s="49"/>
      <c r="AM62" s="59"/>
    </row>
    <row r="63" spans="1:39" ht="38.65" customHeight="1" x14ac:dyDescent="0.25">
      <c r="A63" s="741" t="str">
        <f>A57</f>
        <v>Office</v>
      </c>
      <c r="B63" s="680" t="s">
        <v>164</v>
      </c>
      <c r="C63" s="683" t="s">
        <v>534</v>
      </c>
      <c r="D63" s="686" t="s">
        <v>535</v>
      </c>
      <c r="E63" s="396" t="s">
        <v>509</v>
      </c>
      <c r="F63" s="252">
        <v>0.45</v>
      </c>
      <c r="G63" s="252">
        <v>0.45</v>
      </c>
      <c r="H63" s="252">
        <v>0.45</v>
      </c>
      <c r="I63" s="252">
        <v>0.45</v>
      </c>
      <c r="J63" s="252">
        <v>0.45</v>
      </c>
      <c r="K63" s="252">
        <v>0.45</v>
      </c>
      <c r="L63" s="252">
        <v>0.45</v>
      </c>
      <c r="M63" s="252">
        <v>0.74</v>
      </c>
      <c r="N63" s="252">
        <v>0.87</v>
      </c>
      <c r="O63" s="252">
        <v>0.9</v>
      </c>
      <c r="P63" s="252">
        <v>0.9</v>
      </c>
      <c r="Q63" s="252">
        <v>0.9</v>
      </c>
      <c r="R63" s="252">
        <v>0.9</v>
      </c>
      <c r="S63" s="252">
        <v>0.9</v>
      </c>
      <c r="T63" s="252">
        <v>0.9</v>
      </c>
      <c r="U63" s="252">
        <v>0.9</v>
      </c>
      <c r="V63" s="252">
        <v>0.9</v>
      </c>
      <c r="W63" s="252">
        <v>0.7</v>
      </c>
      <c r="X63" s="252">
        <v>0.5</v>
      </c>
      <c r="Y63" s="252">
        <v>0.5</v>
      </c>
      <c r="Z63" s="252">
        <v>0.5</v>
      </c>
      <c r="AA63" s="252">
        <v>0.45</v>
      </c>
      <c r="AB63" s="252">
        <v>0.45</v>
      </c>
      <c r="AC63" s="257">
        <v>0.45</v>
      </c>
      <c r="AD63" s="49"/>
      <c r="AE63" s="49"/>
      <c r="AF63" s="49"/>
      <c r="AG63" s="49"/>
      <c r="AH63" s="49"/>
      <c r="AI63" s="49"/>
      <c r="AJ63" s="49"/>
      <c r="AK63" s="49"/>
      <c r="AM63" s="59"/>
    </row>
    <row r="64" spans="1:39" ht="33" customHeight="1" x14ac:dyDescent="0.25">
      <c r="A64" s="742"/>
      <c r="B64" s="681"/>
      <c r="C64" s="684"/>
      <c r="D64" s="687"/>
      <c r="E64" s="398" t="s">
        <v>507</v>
      </c>
      <c r="F64" s="263">
        <v>0.43</v>
      </c>
      <c r="G64" s="263">
        <v>0.43</v>
      </c>
      <c r="H64" s="263">
        <v>0.43</v>
      </c>
      <c r="I64" s="263">
        <v>0.43</v>
      </c>
      <c r="J64" s="263">
        <v>0.43</v>
      </c>
      <c r="K64" s="263">
        <v>0.43</v>
      </c>
      <c r="L64" s="263">
        <v>0.43</v>
      </c>
      <c r="M64" s="263">
        <v>0.43</v>
      </c>
      <c r="N64" s="263">
        <v>0.43</v>
      </c>
      <c r="O64" s="263">
        <v>0.43</v>
      </c>
      <c r="P64" s="263">
        <v>0.43</v>
      </c>
      <c r="Q64" s="263">
        <v>0.43</v>
      </c>
      <c r="R64" s="263">
        <v>0.43</v>
      </c>
      <c r="S64" s="263">
        <v>0.43</v>
      </c>
      <c r="T64" s="263">
        <v>0.43</v>
      </c>
      <c r="U64" s="263">
        <v>0.43</v>
      </c>
      <c r="V64" s="263">
        <v>0.43</v>
      </c>
      <c r="W64" s="263">
        <v>0.43</v>
      </c>
      <c r="X64" s="263">
        <v>0.43</v>
      </c>
      <c r="Y64" s="263">
        <v>0.43</v>
      </c>
      <c r="Z64" s="263">
        <v>0.43</v>
      </c>
      <c r="AA64" s="263">
        <v>0.43</v>
      </c>
      <c r="AB64" s="263">
        <v>0.43</v>
      </c>
      <c r="AC64" s="260">
        <v>0.43</v>
      </c>
      <c r="AD64" s="49"/>
      <c r="AE64" s="49"/>
      <c r="AF64" s="49"/>
      <c r="AG64" s="49"/>
      <c r="AH64" s="49"/>
      <c r="AI64" s="49"/>
      <c r="AJ64" s="49"/>
      <c r="AK64" s="49"/>
      <c r="AM64" s="59"/>
    </row>
    <row r="65" spans="1:41" ht="38.65" customHeight="1" thickBot="1" x14ac:dyDescent="0.3">
      <c r="A65" s="743"/>
      <c r="B65" s="682"/>
      <c r="C65" s="685"/>
      <c r="D65" s="688"/>
      <c r="E65" s="400" t="s">
        <v>508</v>
      </c>
      <c r="F65" s="255">
        <v>0.43</v>
      </c>
      <c r="G65" s="255">
        <v>0.43</v>
      </c>
      <c r="H65" s="255">
        <v>0.43</v>
      </c>
      <c r="I65" s="255">
        <v>0.43</v>
      </c>
      <c r="J65" s="255">
        <v>0.43</v>
      </c>
      <c r="K65" s="255">
        <v>0.43</v>
      </c>
      <c r="L65" s="255">
        <v>0.43</v>
      </c>
      <c r="M65" s="255">
        <v>0.43</v>
      </c>
      <c r="N65" s="255">
        <v>0.43</v>
      </c>
      <c r="O65" s="255">
        <v>0.43</v>
      </c>
      <c r="P65" s="255">
        <v>0.43</v>
      </c>
      <c r="Q65" s="255">
        <v>0.43</v>
      </c>
      <c r="R65" s="255">
        <v>0.43</v>
      </c>
      <c r="S65" s="255">
        <v>0.43</v>
      </c>
      <c r="T65" s="255">
        <v>0.43</v>
      </c>
      <c r="U65" s="255">
        <v>0.43</v>
      </c>
      <c r="V65" s="255">
        <v>0.43</v>
      </c>
      <c r="W65" s="255">
        <v>0.43</v>
      </c>
      <c r="X65" s="255">
        <v>0.43</v>
      </c>
      <c r="Y65" s="255">
        <v>0.43</v>
      </c>
      <c r="Z65" s="255">
        <v>0.43</v>
      </c>
      <c r="AA65" s="255">
        <v>0.43</v>
      </c>
      <c r="AB65" s="255">
        <v>0.43</v>
      </c>
      <c r="AC65" s="251">
        <v>0.43</v>
      </c>
      <c r="AD65" s="49"/>
      <c r="AE65" s="49"/>
      <c r="AF65" s="49"/>
      <c r="AG65" s="49"/>
      <c r="AH65" s="49"/>
      <c r="AI65" s="49"/>
      <c r="AJ65" s="49"/>
      <c r="AK65" s="49"/>
      <c r="AM65" s="59"/>
    </row>
    <row r="66" spans="1:41" ht="38.65" customHeight="1" x14ac:dyDescent="0.25">
      <c r="A66" s="741" t="str">
        <f>A57</f>
        <v>Office</v>
      </c>
      <c r="B66" s="680" t="s">
        <v>164</v>
      </c>
      <c r="C66" s="714" t="s">
        <v>518</v>
      </c>
      <c r="D66" s="785" t="s">
        <v>536</v>
      </c>
      <c r="E66" s="401" t="s">
        <v>509</v>
      </c>
      <c r="F66" s="153">
        <v>0</v>
      </c>
      <c r="G66" s="153">
        <v>0</v>
      </c>
      <c r="H66" s="153">
        <v>0</v>
      </c>
      <c r="I66" s="153">
        <v>0</v>
      </c>
      <c r="J66" s="153">
        <v>0</v>
      </c>
      <c r="K66" s="153">
        <v>1</v>
      </c>
      <c r="L66" s="153">
        <v>1</v>
      </c>
      <c r="M66" s="153">
        <v>1</v>
      </c>
      <c r="N66" s="153">
        <v>1</v>
      </c>
      <c r="O66" s="153">
        <v>1</v>
      </c>
      <c r="P66" s="153">
        <v>1</v>
      </c>
      <c r="Q66" s="153">
        <v>1</v>
      </c>
      <c r="R66" s="153">
        <v>1</v>
      </c>
      <c r="S66" s="153">
        <v>1</v>
      </c>
      <c r="T66" s="153">
        <v>1</v>
      </c>
      <c r="U66" s="153">
        <v>1</v>
      </c>
      <c r="V66" s="153">
        <v>1</v>
      </c>
      <c r="W66" s="153">
        <v>1</v>
      </c>
      <c r="X66" s="153">
        <v>1</v>
      </c>
      <c r="Y66" s="153">
        <v>1</v>
      </c>
      <c r="Z66" s="153">
        <v>1</v>
      </c>
      <c r="AA66" s="153">
        <v>1</v>
      </c>
      <c r="AB66" s="153">
        <v>1</v>
      </c>
      <c r="AC66" s="154">
        <v>1</v>
      </c>
      <c r="AD66" s="49"/>
      <c r="AE66" s="49"/>
      <c r="AF66" s="49"/>
      <c r="AG66" s="49"/>
      <c r="AH66" s="49"/>
      <c r="AI66" s="49"/>
      <c r="AJ66" s="49"/>
      <c r="AK66" s="49"/>
      <c r="AM66" s="59"/>
    </row>
    <row r="67" spans="1:41" ht="38.65" customHeight="1" x14ac:dyDescent="0.25">
      <c r="A67" s="742"/>
      <c r="B67" s="681"/>
      <c r="C67" s="684"/>
      <c r="D67" s="716"/>
      <c r="E67" s="398" t="s">
        <v>507</v>
      </c>
      <c r="F67" s="146">
        <v>0</v>
      </c>
      <c r="G67" s="146">
        <v>0</v>
      </c>
      <c r="H67" s="146">
        <v>0</v>
      </c>
      <c r="I67" s="146">
        <v>0</v>
      </c>
      <c r="J67" s="146">
        <v>0</v>
      </c>
      <c r="K67" s="395">
        <v>0</v>
      </c>
      <c r="L67" s="395">
        <v>0</v>
      </c>
      <c r="M67" s="395">
        <v>0</v>
      </c>
      <c r="N67" s="395">
        <v>0</v>
      </c>
      <c r="O67" s="395">
        <v>0</v>
      </c>
      <c r="P67" s="395">
        <v>0</v>
      </c>
      <c r="Q67" s="395">
        <v>0</v>
      </c>
      <c r="R67" s="395">
        <v>0</v>
      </c>
      <c r="S67" s="395">
        <v>0</v>
      </c>
      <c r="T67" s="395">
        <v>0</v>
      </c>
      <c r="U67" s="395">
        <v>0</v>
      </c>
      <c r="V67" s="395">
        <v>0</v>
      </c>
      <c r="W67" s="395">
        <v>0</v>
      </c>
      <c r="X67" s="395">
        <v>0</v>
      </c>
      <c r="Y67" s="146">
        <v>0</v>
      </c>
      <c r="Z67" s="146">
        <v>0</v>
      </c>
      <c r="AA67" s="146">
        <v>0</v>
      </c>
      <c r="AB67" s="146">
        <v>0</v>
      </c>
      <c r="AC67" s="147">
        <v>0</v>
      </c>
      <c r="AD67" s="49"/>
      <c r="AE67" s="49"/>
      <c r="AF67" s="49"/>
      <c r="AG67" s="49"/>
      <c r="AH67" s="49"/>
      <c r="AI67" s="49"/>
      <c r="AJ67" s="49"/>
      <c r="AK67" s="49"/>
      <c r="AM67" s="59"/>
    </row>
    <row r="68" spans="1:41" ht="38.65" customHeight="1" thickBot="1" x14ac:dyDescent="0.3">
      <c r="A68" s="743"/>
      <c r="B68" s="682"/>
      <c r="C68" s="685"/>
      <c r="D68" s="786"/>
      <c r="E68" s="400" t="s">
        <v>508</v>
      </c>
      <c r="F68" s="151">
        <v>0</v>
      </c>
      <c r="G68" s="151">
        <v>0</v>
      </c>
      <c r="H68" s="151">
        <v>0</v>
      </c>
      <c r="I68" s="151">
        <v>0</v>
      </c>
      <c r="J68" s="151">
        <v>0</v>
      </c>
      <c r="K68" s="151">
        <v>0</v>
      </c>
      <c r="L68" s="151">
        <v>0</v>
      </c>
      <c r="M68" s="151">
        <v>0</v>
      </c>
      <c r="N68" s="151">
        <v>0</v>
      </c>
      <c r="O68" s="151">
        <v>0</v>
      </c>
      <c r="P68" s="151">
        <v>0</v>
      </c>
      <c r="Q68" s="151">
        <v>0</v>
      </c>
      <c r="R68" s="151">
        <v>0</v>
      </c>
      <c r="S68" s="151">
        <v>0</v>
      </c>
      <c r="T68" s="151">
        <v>0</v>
      </c>
      <c r="U68" s="151">
        <v>0</v>
      </c>
      <c r="V68" s="151">
        <v>0</v>
      </c>
      <c r="W68" s="151">
        <v>0</v>
      </c>
      <c r="X68" s="151">
        <v>0</v>
      </c>
      <c r="Y68" s="151">
        <v>0</v>
      </c>
      <c r="Z68" s="151">
        <v>0</v>
      </c>
      <c r="AA68" s="151">
        <v>0</v>
      </c>
      <c r="AB68" s="151">
        <v>0</v>
      </c>
      <c r="AC68" s="152">
        <v>0</v>
      </c>
      <c r="AD68" s="49"/>
      <c r="AE68" s="49"/>
      <c r="AF68" s="49"/>
      <c r="AG68" s="49"/>
      <c r="AH68" s="49"/>
      <c r="AI68" s="49"/>
      <c r="AJ68" s="49"/>
      <c r="AK68" s="49"/>
      <c r="AM68" s="59"/>
    </row>
    <row r="69" spans="1:41" ht="33.6" customHeight="1" x14ac:dyDescent="0.25">
      <c r="A69" s="741" t="str">
        <f>A57</f>
        <v>Office</v>
      </c>
      <c r="B69" s="680" t="s">
        <v>164</v>
      </c>
      <c r="C69" s="714" t="s">
        <v>520</v>
      </c>
      <c r="D69" s="736" t="s">
        <v>533</v>
      </c>
      <c r="E69" s="401" t="s">
        <v>509</v>
      </c>
      <c r="F69" s="402">
        <v>0.05</v>
      </c>
      <c r="G69" s="402">
        <v>0.05</v>
      </c>
      <c r="H69" s="402">
        <v>0.05</v>
      </c>
      <c r="I69" s="402">
        <v>0.05</v>
      </c>
      <c r="J69" s="402">
        <v>0.05</v>
      </c>
      <c r="K69" s="402">
        <v>0.08</v>
      </c>
      <c r="L69" s="402">
        <v>7.0000000000000007E-2</v>
      </c>
      <c r="M69" s="402">
        <v>0.19</v>
      </c>
      <c r="N69" s="402">
        <v>0.35</v>
      </c>
      <c r="O69" s="402">
        <v>0.38</v>
      </c>
      <c r="P69" s="402">
        <v>0.39</v>
      </c>
      <c r="Q69" s="402">
        <v>0.47</v>
      </c>
      <c r="R69" s="402">
        <v>0.56999999999999995</v>
      </c>
      <c r="S69" s="402">
        <v>0.54</v>
      </c>
      <c r="T69" s="402">
        <v>0.34</v>
      </c>
      <c r="U69" s="402">
        <v>0.33</v>
      </c>
      <c r="V69" s="402">
        <v>0.44</v>
      </c>
      <c r="W69" s="402">
        <v>0.26</v>
      </c>
      <c r="X69" s="402">
        <v>0.21</v>
      </c>
      <c r="Y69" s="402">
        <v>0.15</v>
      </c>
      <c r="Z69" s="402">
        <v>0.17</v>
      </c>
      <c r="AA69" s="402">
        <v>0.08</v>
      </c>
      <c r="AB69" s="402">
        <v>0.05</v>
      </c>
      <c r="AC69" s="403">
        <v>0.05</v>
      </c>
      <c r="AD69" s="49"/>
      <c r="AE69" s="49"/>
      <c r="AF69" s="49"/>
      <c r="AG69" s="49"/>
      <c r="AH69" s="49"/>
      <c r="AI69" s="49"/>
      <c r="AJ69" s="49"/>
      <c r="AK69" s="49"/>
    </row>
    <row r="70" spans="1:41" ht="33.6" customHeight="1" x14ac:dyDescent="0.25">
      <c r="A70" s="742"/>
      <c r="B70" s="681"/>
      <c r="C70" s="684"/>
      <c r="D70" s="737"/>
      <c r="E70" s="398" t="s">
        <v>507</v>
      </c>
      <c r="F70" s="404">
        <v>0.05</v>
      </c>
      <c r="G70" s="404">
        <v>0.05</v>
      </c>
      <c r="H70" s="404">
        <v>0.05</v>
      </c>
      <c r="I70" s="404">
        <v>0.05</v>
      </c>
      <c r="J70" s="404">
        <v>0.05</v>
      </c>
      <c r="K70" s="404">
        <v>0.08</v>
      </c>
      <c r="L70" s="404">
        <v>7.0000000000000007E-2</v>
      </c>
      <c r="M70" s="404">
        <v>0.11</v>
      </c>
      <c r="N70" s="404">
        <v>0.15</v>
      </c>
      <c r="O70" s="404">
        <v>0.21</v>
      </c>
      <c r="P70" s="404">
        <v>0.19</v>
      </c>
      <c r="Q70" s="404">
        <v>0.23</v>
      </c>
      <c r="R70" s="404">
        <v>0.2</v>
      </c>
      <c r="S70" s="404">
        <v>0.19</v>
      </c>
      <c r="T70" s="404">
        <v>0.15</v>
      </c>
      <c r="U70" s="404">
        <v>0.12</v>
      </c>
      <c r="V70" s="404">
        <v>0.14000000000000001</v>
      </c>
      <c r="W70" s="404">
        <v>7.0000000000000007E-2</v>
      </c>
      <c r="X70" s="404">
        <v>7.0000000000000007E-2</v>
      </c>
      <c r="Y70" s="404">
        <v>7.0000000000000007E-2</v>
      </c>
      <c r="Z70" s="404">
        <v>7.0000000000000007E-2</v>
      </c>
      <c r="AA70" s="404">
        <v>0.09</v>
      </c>
      <c r="AB70" s="404">
        <v>0.05</v>
      </c>
      <c r="AC70" s="405">
        <v>0.05</v>
      </c>
      <c r="AD70" s="49"/>
      <c r="AE70" s="49"/>
      <c r="AF70" s="49"/>
      <c r="AG70" s="49"/>
      <c r="AH70" s="49"/>
      <c r="AI70" s="49"/>
      <c r="AJ70" s="49"/>
      <c r="AK70" s="49"/>
    </row>
    <row r="71" spans="1:41" ht="33.6" customHeight="1" thickBot="1" x14ac:dyDescent="0.3">
      <c r="A71" s="743"/>
      <c r="B71" s="682"/>
      <c r="C71" s="685"/>
      <c r="D71" s="738"/>
      <c r="E71" s="399" t="s">
        <v>508</v>
      </c>
      <c r="F71" s="430">
        <v>0.04</v>
      </c>
      <c r="G71" s="430">
        <v>0.04</v>
      </c>
      <c r="H71" s="430">
        <v>0.04</v>
      </c>
      <c r="I71" s="430">
        <v>0.04</v>
      </c>
      <c r="J71" s="430">
        <v>0.04</v>
      </c>
      <c r="K71" s="430">
        <v>7.0000000000000007E-2</v>
      </c>
      <c r="L71" s="430">
        <v>0.04</v>
      </c>
      <c r="M71" s="430">
        <v>0.04</v>
      </c>
      <c r="N71" s="430">
        <v>0.04</v>
      </c>
      <c r="O71" s="430">
        <v>0.04</v>
      </c>
      <c r="P71" s="430">
        <v>0.04</v>
      </c>
      <c r="Q71" s="430">
        <v>0.06</v>
      </c>
      <c r="R71" s="430">
        <v>0.06</v>
      </c>
      <c r="S71" s="430">
        <v>0.09</v>
      </c>
      <c r="T71" s="430">
        <v>0.06</v>
      </c>
      <c r="U71" s="430">
        <v>0.04</v>
      </c>
      <c r="V71" s="430">
        <v>0.04</v>
      </c>
      <c r="W71" s="430">
        <v>0.04</v>
      </c>
      <c r="X71" s="430">
        <v>0.04</v>
      </c>
      <c r="Y71" s="430">
        <v>0.04</v>
      </c>
      <c r="Z71" s="430">
        <v>0.04</v>
      </c>
      <c r="AA71" s="430">
        <v>7.0000000000000007E-2</v>
      </c>
      <c r="AB71" s="430">
        <v>0.04</v>
      </c>
      <c r="AC71" s="431">
        <v>0.04</v>
      </c>
      <c r="AD71" s="49"/>
      <c r="AE71" s="49"/>
      <c r="AF71" s="49"/>
      <c r="AG71" s="49"/>
      <c r="AH71" s="49"/>
      <c r="AI71" s="49"/>
      <c r="AJ71" s="49"/>
      <c r="AK71" s="49"/>
    </row>
    <row r="72" spans="1:41" ht="38.65" customHeight="1" x14ac:dyDescent="0.25">
      <c r="A72" s="741" t="str">
        <f>A57</f>
        <v>Office</v>
      </c>
      <c r="B72" s="680" t="s">
        <v>164</v>
      </c>
      <c r="C72" s="683" t="s">
        <v>235</v>
      </c>
      <c r="D72" s="782"/>
      <c r="E72" s="422" t="s">
        <v>509</v>
      </c>
      <c r="F72" s="423">
        <v>1</v>
      </c>
      <c r="G72" s="423">
        <v>1</v>
      </c>
      <c r="H72" s="423">
        <v>1</v>
      </c>
      <c r="I72" s="423">
        <v>1</v>
      </c>
      <c r="J72" s="423">
        <v>1</v>
      </c>
      <c r="K72" s="423">
        <v>1</v>
      </c>
      <c r="L72" s="423">
        <v>1</v>
      </c>
      <c r="M72" s="423">
        <v>1</v>
      </c>
      <c r="N72" s="423">
        <v>1</v>
      </c>
      <c r="O72" s="423">
        <v>1</v>
      </c>
      <c r="P72" s="423">
        <v>1</v>
      </c>
      <c r="Q72" s="423">
        <v>1</v>
      </c>
      <c r="R72" s="423">
        <v>1</v>
      </c>
      <c r="S72" s="423">
        <v>1</v>
      </c>
      <c r="T72" s="423">
        <v>1</v>
      </c>
      <c r="U72" s="423">
        <v>1</v>
      </c>
      <c r="V72" s="423">
        <v>1</v>
      </c>
      <c r="W72" s="423">
        <v>1</v>
      </c>
      <c r="X72" s="423">
        <v>1</v>
      </c>
      <c r="Y72" s="423">
        <v>1</v>
      </c>
      <c r="Z72" s="423">
        <v>1</v>
      </c>
      <c r="AA72" s="423">
        <v>1</v>
      </c>
      <c r="AB72" s="423">
        <v>1</v>
      </c>
      <c r="AC72" s="424">
        <v>1</v>
      </c>
      <c r="AD72" s="49"/>
      <c r="AE72" s="49"/>
      <c r="AF72" s="49"/>
      <c r="AG72" s="49"/>
      <c r="AH72" s="49"/>
      <c r="AI72" s="49"/>
      <c r="AJ72" s="49"/>
      <c r="AK72" s="49"/>
      <c r="AM72" s="59"/>
    </row>
    <row r="73" spans="1:41" ht="38.65" customHeight="1" x14ac:dyDescent="0.25">
      <c r="A73" s="742"/>
      <c r="B73" s="681"/>
      <c r="C73" s="684"/>
      <c r="D73" s="783"/>
      <c r="E73" s="425" t="s">
        <v>507</v>
      </c>
      <c r="F73" s="146">
        <v>1</v>
      </c>
      <c r="G73" s="146">
        <v>1</v>
      </c>
      <c r="H73" s="146">
        <v>1</v>
      </c>
      <c r="I73" s="146">
        <v>1</v>
      </c>
      <c r="J73" s="146">
        <v>1</v>
      </c>
      <c r="K73" s="395">
        <v>1</v>
      </c>
      <c r="L73" s="395">
        <v>1</v>
      </c>
      <c r="M73" s="395">
        <v>1</v>
      </c>
      <c r="N73" s="395">
        <v>1</v>
      </c>
      <c r="O73" s="395">
        <v>1</v>
      </c>
      <c r="P73" s="395">
        <v>1</v>
      </c>
      <c r="Q73" s="395">
        <v>1</v>
      </c>
      <c r="R73" s="395">
        <v>1</v>
      </c>
      <c r="S73" s="395">
        <v>1</v>
      </c>
      <c r="T73" s="395">
        <v>1</v>
      </c>
      <c r="U73" s="395">
        <v>1</v>
      </c>
      <c r="V73" s="395">
        <v>1</v>
      </c>
      <c r="W73" s="395">
        <v>1</v>
      </c>
      <c r="X73" s="395">
        <v>1</v>
      </c>
      <c r="Y73" s="146">
        <v>1</v>
      </c>
      <c r="Z73" s="146">
        <v>1</v>
      </c>
      <c r="AA73" s="146">
        <v>1</v>
      </c>
      <c r="AB73" s="146">
        <v>1</v>
      </c>
      <c r="AC73" s="426">
        <v>1</v>
      </c>
      <c r="AD73" s="49"/>
      <c r="AE73" s="49"/>
      <c r="AF73" s="49"/>
      <c r="AG73" s="49"/>
      <c r="AH73" s="49"/>
      <c r="AI73" s="49"/>
      <c r="AJ73" s="49"/>
      <c r="AK73" s="49"/>
      <c r="AM73" s="59"/>
    </row>
    <row r="74" spans="1:41" ht="38.65" customHeight="1" thickBot="1" x14ac:dyDescent="0.3">
      <c r="A74" s="743"/>
      <c r="B74" s="682"/>
      <c r="C74" s="715"/>
      <c r="D74" s="784"/>
      <c r="E74" s="427" t="s">
        <v>508</v>
      </c>
      <c r="F74" s="428">
        <v>1</v>
      </c>
      <c r="G74" s="428">
        <v>1</v>
      </c>
      <c r="H74" s="428">
        <v>1</v>
      </c>
      <c r="I74" s="428">
        <v>1</v>
      </c>
      <c r="J74" s="428">
        <v>1</v>
      </c>
      <c r="K74" s="428">
        <v>1</v>
      </c>
      <c r="L74" s="428">
        <v>1</v>
      </c>
      <c r="M74" s="428">
        <v>1</v>
      </c>
      <c r="N74" s="428">
        <v>1</v>
      </c>
      <c r="O74" s="428">
        <v>1</v>
      </c>
      <c r="P74" s="428">
        <v>1</v>
      </c>
      <c r="Q74" s="428">
        <v>1</v>
      </c>
      <c r="R74" s="428">
        <v>1</v>
      </c>
      <c r="S74" s="428">
        <v>1</v>
      </c>
      <c r="T74" s="428">
        <v>1</v>
      </c>
      <c r="U74" s="428">
        <v>1</v>
      </c>
      <c r="V74" s="428">
        <v>1</v>
      </c>
      <c r="W74" s="428">
        <v>1</v>
      </c>
      <c r="X74" s="428">
        <v>1</v>
      </c>
      <c r="Y74" s="428">
        <v>1</v>
      </c>
      <c r="Z74" s="428">
        <v>1</v>
      </c>
      <c r="AA74" s="428">
        <v>1</v>
      </c>
      <c r="AB74" s="428">
        <v>1</v>
      </c>
      <c r="AC74" s="429">
        <v>1</v>
      </c>
      <c r="AD74" s="49"/>
      <c r="AE74" s="49"/>
      <c r="AF74" s="49"/>
      <c r="AG74" s="49"/>
      <c r="AH74" s="49"/>
      <c r="AI74" s="49"/>
      <c r="AJ74" s="49"/>
      <c r="AK74" s="49"/>
      <c r="AM74" s="59"/>
      <c r="AO74" s="155"/>
    </row>
    <row r="75" spans="1:41" ht="38.65" customHeight="1" x14ac:dyDescent="0.25">
      <c r="A75" s="741" t="str">
        <f>A57</f>
        <v>Office</v>
      </c>
      <c r="B75" s="680" t="s">
        <v>164</v>
      </c>
      <c r="C75" s="704" t="s">
        <v>521</v>
      </c>
      <c r="D75" s="736" t="s">
        <v>653</v>
      </c>
      <c r="E75" s="412" t="s">
        <v>509</v>
      </c>
      <c r="F75" s="413">
        <f>IF((F66=1),Thermostat!$C$3,Thermostat!$C$4)</f>
        <v>60</v>
      </c>
      <c r="G75" s="413">
        <f>IF((G66=1),Thermostat!$C$3,Thermostat!$C$4)</f>
        <v>60</v>
      </c>
      <c r="H75" s="413">
        <f>IF((H66=1),Thermostat!$C$3,Thermostat!$C$4)</f>
        <v>60</v>
      </c>
      <c r="I75" s="413">
        <f>IF((I66=1),Thermostat!$C$3,Thermostat!$C$4)</f>
        <v>60</v>
      </c>
      <c r="J75" s="413">
        <f>IF((J66=1),Thermostat!$C$3,Thermostat!$C$4)</f>
        <v>60</v>
      </c>
      <c r="K75" s="413">
        <f>IF((K66=1),Thermostat!$C$3,Thermostat!$C$4)</f>
        <v>70</v>
      </c>
      <c r="L75" s="413">
        <f>IF((L66=1),Thermostat!$C$3,Thermostat!$C$4)</f>
        <v>70</v>
      </c>
      <c r="M75" s="413">
        <f>IF((M66=1),Thermostat!$C$3,Thermostat!$C$4)</f>
        <v>70</v>
      </c>
      <c r="N75" s="413">
        <f>IF((N66=1),Thermostat!$C$3,Thermostat!$C$4)</f>
        <v>70</v>
      </c>
      <c r="O75" s="413">
        <f>IF((O66=1),Thermostat!$C$3,Thermostat!$C$4)</f>
        <v>70</v>
      </c>
      <c r="P75" s="413">
        <f>IF((P66=1),Thermostat!$C$3,Thermostat!$C$4)</f>
        <v>70</v>
      </c>
      <c r="Q75" s="413">
        <f>IF((Q66=1),Thermostat!$C$3,Thermostat!$C$4)</f>
        <v>70</v>
      </c>
      <c r="R75" s="413">
        <f>IF((R66=1),Thermostat!$C$3,Thermostat!$C$4)</f>
        <v>70</v>
      </c>
      <c r="S75" s="413">
        <f>IF((S66=1),Thermostat!$C$3,Thermostat!$C$4)</f>
        <v>70</v>
      </c>
      <c r="T75" s="413">
        <f>IF((T66=1),Thermostat!$C$3,Thermostat!$C$4)</f>
        <v>70</v>
      </c>
      <c r="U75" s="413">
        <f>IF((U66=1),Thermostat!$C$3,Thermostat!$C$4)</f>
        <v>70</v>
      </c>
      <c r="V75" s="413">
        <f>IF((V66=1),Thermostat!$C$3,Thermostat!$C$4)</f>
        <v>70</v>
      </c>
      <c r="W75" s="413">
        <f>IF((W66=1),Thermostat!$C$3,Thermostat!$C$4)</f>
        <v>70</v>
      </c>
      <c r="X75" s="413">
        <f>IF((X66=1),Thermostat!$C$3,Thermostat!$C$4)</f>
        <v>70</v>
      </c>
      <c r="Y75" s="413">
        <f>IF((Y66=1),Thermostat!$C$3,Thermostat!$C$4)</f>
        <v>70</v>
      </c>
      <c r="Z75" s="413">
        <f>IF((Z66=1),Thermostat!$C$3,Thermostat!$C$4)</f>
        <v>70</v>
      </c>
      <c r="AA75" s="413">
        <f>IF((AA66=1),Thermostat!$C$3,Thermostat!$C$4)</f>
        <v>70</v>
      </c>
      <c r="AB75" s="413">
        <f>IF((AB66=1),Thermostat!$C$3,Thermostat!$C$4)</f>
        <v>70</v>
      </c>
      <c r="AC75" s="414">
        <f>IF((AC66=1),Thermostat!$C$3,Thermostat!$C$4)</f>
        <v>70</v>
      </c>
      <c r="AD75" s="49"/>
      <c r="AE75" s="49"/>
      <c r="AF75" s="49"/>
      <c r="AG75" s="49"/>
      <c r="AH75" s="49"/>
      <c r="AI75" s="49"/>
      <c r="AJ75" s="49"/>
      <c r="AK75" s="49"/>
      <c r="AM75" s="59"/>
      <c r="AO75" s="155"/>
    </row>
    <row r="76" spans="1:41" ht="38.65" customHeight="1" x14ac:dyDescent="0.25">
      <c r="A76" s="742"/>
      <c r="B76" s="681"/>
      <c r="C76" s="705"/>
      <c r="D76" s="737"/>
      <c r="E76" s="406" t="s">
        <v>507</v>
      </c>
      <c r="F76" s="407">
        <f>IF((F67=1),Thermostat!$C$3,Thermostat!$C$4)</f>
        <v>60</v>
      </c>
      <c r="G76" s="407">
        <f>IF((G67=1),Thermostat!$C$3,Thermostat!$C$4)</f>
        <v>60</v>
      </c>
      <c r="H76" s="407">
        <f>IF((H67=1),Thermostat!$C$3,Thermostat!$C$4)</f>
        <v>60</v>
      </c>
      <c r="I76" s="407">
        <f>IF((I67=1),Thermostat!$C$3,Thermostat!$C$4)</f>
        <v>60</v>
      </c>
      <c r="J76" s="407">
        <f>IF((J67=1),Thermostat!$C$3,Thermostat!$C$4)</f>
        <v>60</v>
      </c>
      <c r="K76" s="407">
        <f>IF((K67=1),Thermostat!$C$3,Thermostat!$C$4)</f>
        <v>60</v>
      </c>
      <c r="L76" s="407">
        <f>IF((L67=1),Thermostat!$C$3,Thermostat!$C$4)</f>
        <v>60</v>
      </c>
      <c r="M76" s="407">
        <f>IF((M67=1),Thermostat!$C$3,Thermostat!$C$4)</f>
        <v>60</v>
      </c>
      <c r="N76" s="407">
        <f>IF((N67=1),Thermostat!$C$3,Thermostat!$C$4)</f>
        <v>60</v>
      </c>
      <c r="O76" s="407">
        <f>IF((O67=1),Thermostat!$C$3,Thermostat!$C$4)</f>
        <v>60</v>
      </c>
      <c r="P76" s="407">
        <f>IF((P67=1),Thermostat!$C$3,Thermostat!$C$4)</f>
        <v>60</v>
      </c>
      <c r="Q76" s="407">
        <f>IF((Q67=1),Thermostat!$C$3,Thermostat!$C$4)</f>
        <v>60</v>
      </c>
      <c r="R76" s="407">
        <f>IF((R67=1),Thermostat!$C$3,Thermostat!$C$4)</f>
        <v>60</v>
      </c>
      <c r="S76" s="407">
        <f>IF((S67=1),Thermostat!$C$3,Thermostat!$C$4)</f>
        <v>60</v>
      </c>
      <c r="T76" s="407">
        <f>IF((T67=1),Thermostat!$C$3,Thermostat!$C$4)</f>
        <v>60</v>
      </c>
      <c r="U76" s="407">
        <f>IF((U67=1),Thermostat!$C$3,Thermostat!$C$4)</f>
        <v>60</v>
      </c>
      <c r="V76" s="407">
        <f>IF((V67=1),Thermostat!$C$3,Thermostat!$C$4)</f>
        <v>60</v>
      </c>
      <c r="W76" s="407">
        <f>IF((W67=1),Thermostat!$C$3,Thermostat!$C$4)</f>
        <v>60</v>
      </c>
      <c r="X76" s="407">
        <f>IF((X67=1),Thermostat!$C$3,Thermostat!$C$4)</f>
        <v>60</v>
      </c>
      <c r="Y76" s="407">
        <f>IF((Y67=1),Thermostat!$C$3,Thermostat!$C$4)</f>
        <v>60</v>
      </c>
      <c r="Z76" s="407">
        <f>IF((Z67=1),Thermostat!$C$3,Thermostat!$C$4)</f>
        <v>60</v>
      </c>
      <c r="AA76" s="407">
        <f>IF((AA67=1),Thermostat!$C$3,Thermostat!$C$4)</f>
        <v>60</v>
      </c>
      <c r="AB76" s="407">
        <f>IF((AB67=1),Thermostat!$C$3,Thermostat!$C$4)</f>
        <v>60</v>
      </c>
      <c r="AC76" s="408">
        <f>IF((AC67=1),Thermostat!$C$3,Thermostat!$C$4)</f>
        <v>60</v>
      </c>
      <c r="AD76" s="49"/>
      <c r="AE76" s="49"/>
      <c r="AF76" s="49"/>
      <c r="AG76" s="49"/>
      <c r="AH76" s="49"/>
      <c r="AI76" s="49"/>
      <c r="AJ76" s="49"/>
      <c r="AK76" s="49"/>
      <c r="AM76" s="59"/>
      <c r="AO76" s="155"/>
    </row>
    <row r="77" spans="1:41" ht="38.65" customHeight="1" thickBot="1" x14ac:dyDescent="0.3">
      <c r="A77" s="744"/>
      <c r="B77" s="681"/>
      <c r="C77" s="730"/>
      <c r="D77" s="738"/>
      <c r="E77" s="409" t="s">
        <v>508</v>
      </c>
      <c r="F77" s="410">
        <f>IF((F68=1),Thermostat!$C$3,Thermostat!$C$4)</f>
        <v>60</v>
      </c>
      <c r="G77" s="410">
        <f>IF((G68=1),Thermostat!$C$3,Thermostat!$C$4)</f>
        <v>60</v>
      </c>
      <c r="H77" s="410">
        <f>IF((H68=1),Thermostat!$C$3,Thermostat!$C$4)</f>
        <v>60</v>
      </c>
      <c r="I77" s="410">
        <f>IF((I68=1),Thermostat!$C$3,Thermostat!$C$4)</f>
        <v>60</v>
      </c>
      <c r="J77" s="410">
        <f>IF((J68=1),Thermostat!$C$3,Thermostat!$C$4)</f>
        <v>60</v>
      </c>
      <c r="K77" s="410">
        <f>IF((K68=1),Thermostat!$C$3,Thermostat!$C$4)</f>
        <v>60</v>
      </c>
      <c r="L77" s="410">
        <f>IF((L68=1),Thermostat!$C$3,Thermostat!$C$4)</f>
        <v>60</v>
      </c>
      <c r="M77" s="410">
        <f>IF((M68=1),Thermostat!$C$3,Thermostat!$C$4)</f>
        <v>60</v>
      </c>
      <c r="N77" s="410">
        <f>IF((N68=1),Thermostat!$C$3,Thermostat!$C$4)</f>
        <v>60</v>
      </c>
      <c r="O77" s="410">
        <f>IF((O68=1),Thermostat!$C$3,Thermostat!$C$4)</f>
        <v>60</v>
      </c>
      <c r="P77" s="410">
        <f>IF((P68=1),Thermostat!$C$3,Thermostat!$C$4)</f>
        <v>60</v>
      </c>
      <c r="Q77" s="410">
        <f>IF((Q68=1),Thermostat!$C$3,Thermostat!$C$4)</f>
        <v>60</v>
      </c>
      <c r="R77" s="410">
        <f>IF((R68=1),Thermostat!$C$3,Thermostat!$C$4)</f>
        <v>60</v>
      </c>
      <c r="S77" s="410">
        <f>IF((S68=1),Thermostat!$C$3,Thermostat!$C$4)</f>
        <v>60</v>
      </c>
      <c r="T77" s="410">
        <f>IF((T68=1),Thermostat!$C$3,Thermostat!$C$4)</f>
        <v>60</v>
      </c>
      <c r="U77" s="410">
        <f>IF((U68=1),Thermostat!$C$3,Thermostat!$C$4)</f>
        <v>60</v>
      </c>
      <c r="V77" s="410">
        <f>IF((V68=1),Thermostat!$C$3,Thermostat!$C$4)</f>
        <v>60</v>
      </c>
      <c r="W77" s="410">
        <f>IF((W68=1),Thermostat!$C$3,Thermostat!$C$4)</f>
        <v>60</v>
      </c>
      <c r="X77" s="410">
        <f>IF((X68=1),Thermostat!$C$3,Thermostat!$C$4)</f>
        <v>60</v>
      </c>
      <c r="Y77" s="410">
        <f>IF((Y68=1),Thermostat!$C$3,Thermostat!$C$4)</f>
        <v>60</v>
      </c>
      <c r="Z77" s="410">
        <f>IF((Z68=1),Thermostat!$C$3,Thermostat!$C$4)</f>
        <v>60</v>
      </c>
      <c r="AA77" s="410">
        <f>IF((AA68=1),Thermostat!$C$3,Thermostat!$C$4)</f>
        <v>60</v>
      </c>
      <c r="AB77" s="410">
        <f>IF((AB68=1),Thermostat!$C$3,Thermostat!$C$4)</f>
        <v>60</v>
      </c>
      <c r="AC77" s="411">
        <f>IF((AC68=1),Thermostat!$C$3,Thermostat!$C$4)</f>
        <v>60</v>
      </c>
      <c r="AD77" s="49"/>
      <c r="AE77" s="49"/>
      <c r="AF77" s="49"/>
      <c r="AG77" s="49"/>
      <c r="AH77" s="49"/>
      <c r="AI77" s="49"/>
      <c r="AJ77" s="49"/>
      <c r="AK77" s="49"/>
      <c r="AM77" s="59"/>
      <c r="AO77" s="155"/>
    </row>
    <row r="78" spans="1:41" ht="38.65" customHeight="1" x14ac:dyDescent="0.25">
      <c r="A78" s="702" t="str">
        <f>A57</f>
        <v>Office</v>
      </c>
      <c r="B78" s="680" t="s">
        <v>164</v>
      </c>
      <c r="C78" s="704" t="s">
        <v>523</v>
      </c>
      <c r="D78" s="736" t="s">
        <v>653</v>
      </c>
      <c r="E78" s="412" t="s">
        <v>509</v>
      </c>
      <c r="F78" s="413">
        <f>IF((F66=1),Thermostat!$C$5,Thermostat!$C$6)</f>
        <v>85</v>
      </c>
      <c r="G78" s="413">
        <f>IF((G66=1),Thermostat!$C$5,Thermostat!$C$6)</f>
        <v>85</v>
      </c>
      <c r="H78" s="413">
        <f>IF((H66=1),Thermostat!$C$5,Thermostat!$C$6)</f>
        <v>85</v>
      </c>
      <c r="I78" s="413">
        <f>IF((I66=1),Thermostat!$C$5,Thermostat!$C$6)</f>
        <v>85</v>
      </c>
      <c r="J78" s="413">
        <f>IF((J66=1),Thermostat!$C$5,Thermostat!$C$6)</f>
        <v>85</v>
      </c>
      <c r="K78" s="413">
        <f>IF((K66=1),Thermostat!$C$5,Thermostat!$C$6)</f>
        <v>75</v>
      </c>
      <c r="L78" s="413">
        <f>IF((L66=1),Thermostat!$C$5,Thermostat!$C$6)</f>
        <v>75</v>
      </c>
      <c r="M78" s="413">
        <f>IF((M66=1),Thermostat!$C$5,Thermostat!$C$6)</f>
        <v>75</v>
      </c>
      <c r="N78" s="413">
        <f>IF((N66=1),Thermostat!$C$5,Thermostat!$C$6)</f>
        <v>75</v>
      </c>
      <c r="O78" s="413">
        <f>IF((O66=1),Thermostat!$C$5,Thermostat!$C$6)</f>
        <v>75</v>
      </c>
      <c r="P78" s="413">
        <f>IF((P66=1),Thermostat!$C$5,Thermostat!$C$6)</f>
        <v>75</v>
      </c>
      <c r="Q78" s="413">
        <f>IF((Q66=1),Thermostat!$C$5,Thermostat!$C$6)</f>
        <v>75</v>
      </c>
      <c r="R78" s="413">
        <f>IF((R66=1),Thermostat!$C$5,Thermostat!$C$6)</f>
        <v>75</v>
      </c>
      <c r="S78" s="413">
        <f>IF((S66=1),Thermostat!$C$5,Thermostat!$C$6)</f>
        <v>75</v>
      </c>
      <c r="T78" s="413">
        <f>IF((T66=1),Thermostat!$C$5,Thermostat!$C$6)</f>
        <v>75</v>
      </c>
      <c r="U78" s="413">
        <f>IF((U66=1),Thermostat!$C$5,Thermostat!$C$6)</f>
        <v>75</v>
      </c>
      <c r="V78" s="413">
        <f>IF((V66=1),Thermostat!$C$5,Thermostat!$C$6)</f>
        <v>75</v>
      </c>
      <c r="W78" s="413">
        <f>IF((W66=1),Thermostat!$C$5,Thermostat!$C$6)</f>
        <v>75</v>
      </c>
      <c r="X78" s="413">
        <f>IF((X66=1),Thermostat!$C$5,Thermostat!$C$6)</f>
        <v>75</v>
      </c>
      <c r="Y78" s="413">
        <f>IF((Y66=1),Thermostat!$C$5,Thermostat!$C$6)</f>
        <v>75</v>
      </c>
      <c r="Z78" s="413">
        <f>IF((Z66=1),Thermostat!$C$5,Thermostat!$C$6)</f>
        <v>75</v>
      </c>
      <c r="AA78" s="413">
        <f>IF((AA66=1),Thermostat!$C$5,Thermostat!$C$6)</f>
        <v>75</v>
      </c>
      <c r="AB78" s="413">
        <f>IF((AB66=1),Thermostat!$C$5,Thermostat!$C$6)</f>
        <v>75</v>
      </c>
      <c r="AC78" s="414">
        <f>IF((AC66=1),Thermostat!$C$5,Thermostat!$C$6)</f>
        <v>75</v>
      </c>
      <c r="AD78" s="49"/>
      <c r="AE78" s="49"/>
      <c r="AF78" s="49"/>
      <c r="AG78" s="49"/>
      <c r="AH78" s="49"/>
      <c r="AI78" s="49"/>
      <c r="AJ78" s="49"/>
      <c r="AK78" s="49"/>
      <c r="AM78" s="59"/>
      <c r="AO78" s="155"/>
    </row>
    <row r="79" spans="1:41" ht="38.65" customHeight="1" x14ac:dyDescent="0.25">
      <c r="A79" s="690"/>
      <c r="B79" s="681"/>
      <c r="C79" s="705"/>
      <c r="D79" s="737"/>
      <c r="E79" s="406" t="s">
        <v>507</v>
      </c>
      <c r="F79" s="407">
        <f>IF((F67=1),Thermostat!$C$5,Thermostat!$C$6)</f>
        <v>85</v>
      </c>
      <c r="G79" s="407">
        <f>IF((G67=1),Thermostat!$C$5,Thermostat!$C$6)</f>
        <v>85</v>
      </c>
      <c r="H79" s="407">
        <f>IF((H67=1),Thermostat!$C$5,Thermostat!$C$6)</f>
        <v>85</v>
      </c>
      <c r="I79" s="407">
        <f>IF((I67=1),Thermostat!$C$5,Thermostat!$C$6)</f>
        <v>85</v>
      </c>
      <c r="J79" s="407">
        <f>IF((J67=1),Thermostat!$C$5,Thermostat!$C$6)</f>
        <v>85</v>
      </c>
      <c r="K79" s="407">
        <f>IF((K67=1),Thermostat!$C$5,Thermostat!$C$6)</f>
        <v>85</v>
      </c>
      <c r="L79" s="407">
        <f>IF((L67=1),Thermostat!$C$5,Thermostat!$C$6)</f>
        <v>85</v>
      </c>
      <c r="M79" s="407">
        <f>IF((M67=1),Thermostat!$C$5,Thermostat!$C$6)</f>
        <v>85</v>
      </c>
      <c r="N79" s="407">
        <f>IF((N67=1),Thermostat!$C$5,Thermostat!$C$6)</f>
        <v>85</v>
      </c>
      <c r="O79" s="407">
        <f>IF((O67=1),Thermostat!$C$5,Thermostat!$C$6)</f>
        <v>85</v>
      </c>
      <c r="P79" s="407">
        <f>IF((P67=1),Thermostat!$C$5,Thermostat!$C$6)</f>
        <v>85</v>
      </c>
      <c r="Q79" s="407">
        <f>IF((Q67=1),Thermostat!$C$5,Thermostat!$C$6)</f>
        <v>85</v>
      </c>
      <c r="R79" s="407">
        <f>IF((R67=1),Thermostat!$C$5,Thermostat!$C$6)</f>
        <v>85</v>
      </c>
      <c r="S79" s="407">
        <f>IF((S67=1),Thermostat!$C$5,Thermostat!$C$6)</f>
        <v>85</v>
      </c>
      <c r="T79" s="407">
        <f>IF((T67=1),Thermostat!$C$5,Thermostat!$C$6)</f>
        <v>85</v>
      </c>
      <c r="U79" s="407">
        <f>IF((U67=1),Thermostat!$C$5,Thermostat!$C$6)</f>
        <v>85</v>
      </c>
      <c r="V79" s="407">
        <f>IF((V67=1),Thermostat!$C$5,Thermostat!$C$6)</f>
        <v>85</v>
      </c>
      <c r="W79" s="407">
        <f>IF((W67=1),Thermostat!$C$5,Thermostat!$C$6)</f>
        <v>85</v>
      </c>
      <c r="X79" s="407">
        <f>IF((X67=1),Thermostat!$C$5,Thermostat!$C$6)</f>
        <v>85</v>
      </c>
      <c r="Y79" s="407">
        <f>IF((Y67=1),Thermostat!$C$5,Thermostat!$C$6)</f>
        <v>85</v>
      </c>
      <c r="Z79" s="407">
        <f>IF((Z67=1),Thermostat!$C$5,Thermostat!$C$6)</f>
        <v>85</v>
      </c>
      <c r="AA79" s="407">
        <f>IF((AA67=1),Thermostat!$C$5,Thermostat!$C$6)</f>
        <v>85</v>
      </c>
      <c r="AB79" s="407">
        <f>IF((AB67=1),Thermostat!$C$5,Thermostat!$C$6)</f>
        <v>85</v>
      </c>
      <c r="AC79" s="408">
        <f>IF((AC67=1),Thermostat!$C$5,Thermostat!$C$6)</f>
        <v>85</v>
      </c>
      <c r="AD79" s="49"/>
      <c r="AE79" s="49"/>
      <c r="AF79" s="49"/>
      <c r="AG79" s="49"/>
      <c r="AH79" s="49"/>
      <c r="AI79" s="49"/>
      <c r="AJ79" s="49"/>
      <c r="AK79" s="49"/>
      <c r="AM79" s="59"/>
      <c r="AO79" s="155"/>
    </row>
    <row r="80" spans="1:41" ht="38.65" customHeight="1" thickBot="1" x14ac:dyDescent="0.3">
      <c r="A80" s="703"/>
      <c r="B80" s="739"/>
      <c r="C80" s="706"/>
      <c r="D80" s="740"/>
      <c r="E80" s="409" t="s">
        <v>508</v>
      </c>
      <c r="F80" s="410">
        <f>IF((F68=1),Thermostat!$C$5,Thermostat!$C$6)</f>
        <v>85</v>
      </c>
      <c r="G80" s="410">
        <f>IF((G68=1),Thermostat!$C$5,Thermostat!$C$6)</f>
        <v>85</v>
      </c>
      <c r="H80" s="410">
        <f>IF((H68=1),Thermostat!$C$5,Thermostat!$C$6)</f>
        <v>85</v>
      </c>
      <c r="I80" s="410">
        <f>IF((I68=1),Thermostat!$C$5,Thermostat!$C$6)</f>
        <v>85</v>
      </c>
      <c r="J80" s="410">
        <f>IF((J68=1),Thermostat!$C$5,Thermostat!$C$6)</f>
        <v>85</v>
      </c>
      <c r="K80" s="410">
        <f>IF((K68=1),Thermostat!$C$5,Thermostat!$C$6)</f>
        <v>85</v>
      </c>
      <c r="L80" s="410">
        <f>IF((L68=1),Thermostat!$C$5,Thermostat!$C$6)</f>
        <v>85</v>
      </c>
      <c r="M80" s="410">
        <f>IF((M68=1),Thermostat!$C$5,Thermostat!$C$6)</f>
        <v>85</v>
      </c>
      <c r="N80" s="410">
        <f>IF((N68=1),Thermostat!$C$5,Thermostat!$C$6)</f>
        <v>85</v>
      </c>
      <c r="O80" s="410">
        <f>IF((O68=1),Thermostat!$C$5,Thermostat!$C$6)</f>
        <v>85</v>
      </c>
      <c r="P80" s="410">
        <f>IF((P68=1),Thermostat!$C$5,Thermostat!$C$6)</f>
        <v>85</v>
      </c>
      <c r="Q80" s="410">
        <f>IF((Q68=1),Thermostat!$C$5,Thermostat!$C$6)</f>
        <v>85</v>
      </c>
      <c r="R80" s="410">
        <f>IF((R68=1),Thermostat!$C$5,Thermostat!$C$6)</f>
        <v>85</v>
      </c>
      <c r="S80" s="410">
        <f>IF((S68=1),Thermostat!$C$5,Thermostat!$C$6)</f>
        <v>85</v>
      </c>
      <c r="T80" s="410">
        <f>IF((T68=1),Thermostat!$C$5,Thermostat!$C$6)</f>
        <v>85</v>
      </c>
      <c r="U80" s="410">
        <f>IF((U68=1),Thermostat!$C$5,Thermostat!$C$6)</f>
        <v>85</v>
      </c>
      <c r="V80" s="410">
        <f>IF((V68=1),Thermostat!$C$5,Thermostat!$C$6)</f>
        <v>85</v>
      </c>
      <c r="W80" s="410">
        <f>IF((W68=1),Thermostat!$C$5,Thermostat!$C$6)</f>
        <v>85</v>
      </c>
      <c r="X80" s="410">
        <f>IF((X68=1),Thermostat!$C$5,Thermostat!$C$6)</f>
        <v>85</v>
      </c>
      <c r="Y80" s="410">
        <f>IF((Y68=1),Thermostat!$C$5,Thermostat!$C$6)</f>
        <v>85</v>
      </c>
      <c r="Z80" s="410">
        <f>IF((Z68=1),Thermostat!$C$5,Thermostat!$C$6)</f>
        <v>85</v>
      </c>
      <c r="AA80" s="410">
        <f>IF((AA68=1),Thermostat!$C$5,Thermostat!$C$6)</f>
        <v>85</v>
      </c>
      <c r="AB80" s="410">
        <f>IF((AB68=1),Thermostat!$C$5,Thermostat!$C$6)</f>
        <v>85</v>
      </c>
      <c r="AC80" s="411">
        <f>IF((AC68=1),Thermostat!$C$5,Thermostat!$C$6)</f>
        <v>85</v>
      </c>
      <c r="AD80" s="49"/>
      <c r="AE80" s="49"/>
      <c r="AF80" s="49"/>
      <c r="AG80" s="49"/>
      <c r="AH80" s="49"/>
      <c r="AI80" s="49"/>
      <c r="AJ80" s="49"/>
      <c r="AK80" s="49"/>
      <c r="AM80" s="59"/>
      <c r="AO80" s="155"/>
    </row>
    <row r="81" spans="1:41" ht="38.65" customHeight="1" x14ac:dyDescent="0.25">
      <c r="A81" s="702" t="str">
        <f>A60</f>
        <v>Office</v>
      </c>
      <c r="B81" s="680" t="s">
        <v>164</v>
      </c>
      <c r="C81" s="704" t="s">
        <v>530</v>
      </c>
      <c r="D81" s="736" t="s">
        <v>383</v>
      </c>
      <c r="E81" s="412" t="s">
        <v>509</v>
      </c>
      <c r="F81" s="413">
        <v>0</v>
      </c>
      <c r="G81" s="413">
        <v>0</v>
      </c>
      <c r="H81" s="413">
        <v>0</v>
      </c>
      <c r="I81" s="413">
        <v>0</v>
      </c>
      <c r="J81" s="413">
        <v>0</v>
      </c>
      <c r="K81" s="413">
        <v>0</v>
      </c>
      <c r="L81" s="153">
        <v>0.13100000000000001</v>
      </c>
      <c r="M81" s="153">
        <v>1</v>
      </c>
      <c r="N81" s="153">
        <v>0.13100000000000001</v>
      </c>
      <c r="O81" s="153">
        <v>0.13100000000000001</v>
      </c>
      <c r="P81" s="153">
        <v>0.13100000000000001</v>
      </c>
      <c r="Q81" s="153">
        <v>0.13100000000000001</v>
      </c>
      <c r="R81" s="153">
        <v>1</v>
      </c>
      <c r="S81" s="153">
        <v>0.13100000000000001</v>
      </c>
      <c r="T81" s="153">
        <v>0.13100000000000001</v>
      </c>
      <c r="U81" s="153">
        <v>0.13100000000000001</v>
      </c>
      <c r="V81" s="153">
        <v>0.13100000000000001</v>
      </c>
      <c r="W81" s="153">
        <v>1</v>
      </c>
      <c r="X81" s="153">
        <v>0.13100000000000001</v>
      </c>
      <c r="Y81" s="413">
        <v>0</v>
      </c>
      <c r="Z81" s="413">
        <v>0</v>
      </c>
      <c r="AA81" s="413">
        <v>0</v>
      </c>
      <c r="AB81" s="413">
        <v>0</v>
      </c>
      <c r="AC81" s="414">
        <v>0</v>
      </c>
      <c r="AD81" s="49"/>
      <c r="AE81" s="49"/>
      <c r="AF81" s="49"/>
      <c r="AG81" s="49"/>
      <c r="AH81" s="49"/>
      <c r="AI81" s="49"/>
      <c r="AJ81" s="49"/>
      <c r="AK81" s="49"/>
      <c r="AM81" s="59"/>
      <c r="AO81" s="155"/>
    </row>
    <row r="82" spans="1:41" ht="38.65" customHeight="1" x14ac:dyDescent="0.25">
      <c r="A82" s="690"/>
      <c r="B82" s="681"/>
      <c r="C82" s="705"/>
      <c r="D82" s="737"/>
      <c r="E82" s="406" t="s">
        <v>507</v>
      </c>
      <c r="F82" s="407">
        <v>0</v>
      </c>
      <c r="G82" s="407">
        <v>0</v>
      </c>
      <c r="H82" s="407">
        <v>0</v>
      </c>
      <c r="I82" s="407">
        <v>0</v>
      </c>
      <c r="J82" s="407">
        <v>0</v>
      </c>
      <c r="K82" s="407">
        <v>0</v>
      </c>
      <c r="L82" s="407">
        <v>0</v>
      </c>
      <c r="M82" s="407">
        <v>0</v>
      </c>
      <c r="N82" s="407">
        <v>0</v>
      </c>
      <c r="O82" s="407">
        <v>0</v>
      </c>
      <c r="P82" s="407">
        <v>0</v>
      </c>
      <c r="Q82" s="407">
        <v>0</v>
      </c>
      <c r="R82" s="407">
        <v>0</v>
      </c>
      <c r="S82" s="407">
        <v>0</v>
      </c>
      <c r="T82" s="407">
        <v>0</v>
      </c>
      <c r="U82" s="407">
        <v>0</v>
      </c>
      <c r="V82" s="407">
        <v>0</v>
      </c>
      <c r="W82" s="407">
        <v>0</v>
      </c>
      <c r="X82" s="407">
        <v>0</v>
      </c>
      <c r="Y82" s="407">
        <v>0</v>
      </c>
      <c r="Z82" s="407">
        <v>0</v>
      </c>
      <c r="AA82" s="407">
        <v>0</v>
      </c>
      <c r="AB82" s="407">
        <v>0</v>
      </c>
      <c r="AC82" s="408">
        <v>0</v>
      </c>
      <c r="AD82" s="49"/>
      <c r="AE82" s="49"/>
      <c r="AF82" s="49"/>
      <c r="AG82" s="49"/>
      <c r="AH82" s="49"/>
      <c r="AI82" s="49"/>
      <c r="AJ82" s="49"/>
      <c r="AK82" s="49"/>
      <c r="AM82" s="59"/>
      <c r="AO82" s="155"/>
    </row>
    <row r="83" spans="1:41" ht="38.65" customHeight="1" thickBot="1" x14ac:dyDescent="0.3">
      <c r="A83" s="703"/>
      <c r="B83" s="739"/>
      <c r="C83" s="706"/>
      <c r="D83" s="740"/>
      <c r="E83" s="409" t="s">
        <v>508</v>
      </c>
      <c r="F83" s="410">
        <v>0</v>
      </c>
      <c r="G83" s="410">
        <v>0</v>
      </c>
      <c r="H83" s="410">
        <v>0</v>
      </c>
      <c r="I83" s="410">
        <v>0</v>
      </c>
      <c r="J83" s="410">
        <v>0</v>
      </c>
      <c r="K83" s="410">
        <v>0</v>
      </c>
      <c r="L83" s="410">
        <v>0</v>
      </c>
      <c r="M83" s="410">
        <v>0</v>
      </c>
      <c r="N83" s="410">
        <v>0</v>
      </c>
      <c r="O83" s="410">
        <v>0</v>
      </c>
      <c r="P83" s="410">
        <v>0</v>
      </c>
      <c r="Q83" s="410">
        <v>0</v>
      </c>
      <c r="R83" s="410">
        <v>0</v>
      </c>
      <c r="S83" s="410">
        <v>0</v>
      </c>
      <c r="T83" s="410">
        <v>0</v>
      </c>
      <c r="U83" s="410">
        <v>0</v>
      </c>
      <c r="V83" s="410">
        <v>0</v>
      </c>
      <c r="W83" s="410">
        <v>0</v>
      </c>
      <c r="X83" s="410">
        <v>0</v>
      </c>
      <c r="Y83" s="410">
        <v>0</v>
      </c>
      <c r="Z83" s="410">
        <v>0</v>
      </c>
      <c r="AA83" s="410">
        <v>0</v>
      </c>
      <c r="AB83" s="410">
        <v>0</v>
      </c>
      <c r="AC83" s="411">
        <v>0</v>
      </c>
      <c r="AD83" s="49"/>
      <c r="AE83" s="49"/>
      <c r="AF83" s="49"/>
      <c r="AG83" s="49"/>
      <c r="AH83" s="49"/>
      <c r="AI83" s="49"/>
      <c r="AJ83" s="49"/>
      <c r="AK83" s="49"/>
      <c r="AM83" s="59"/>
      <c r="AO83" s="155"/>
    </row>
    <row r="84" spans="1:41" ht="27.6" customHeight="1" thickBot="1" x14ac:dyDescent="0.3">
      <c r="A84" s="678" t="s">
        <v>537</v>
      </c>
      <c r="B84" s="678"/>
      <c r="C84" s="678"/>
      <c r="D84" s="678"/>
      <c r="E84" s="678"/>
      <c r="F84" s="678"/>
      <c r="G84" s="678"/>
      <c r="H84" s="678"/>
      <c r="I84" s="678"/>
      <c r="J84" s="678"/>
      <c r="K84" s="678"/>
      <c r="L84" s="678"/>
      <c r="M84" s="678"/>
      <c r="N84" s="678"/>
      <c r="O84" s="678"/>
      <c r="P84" s="678"/>
      <c r="Q84" s="678"/>
      <c r="R84" s="678"/>
      <c r="S84" s="678"/>
      <c r="T84" s="678"/>
      <c r="U84" s="678"/>
      <c r="V84" s="678"/>
      <c r="W84" s="678"/>
      <c r="X84" s="678"/>
      <c r="Y84" s="678"/>
      <c r="Z84" s="678"/>
      <c r="AA84" s="678"/>
      <c r="AB84" s="678"/>
      <c r="AC84" s="679"/>
      <c r="AD84" s="49"/>
      <c r="AE84" s="49"/>
      <c r="AF84" s="49"/>
      <c r="AG84" s="49"/>
      <c r="AH84" s="49"/>
      <c r="AI84" s="49"/>
      <c r="AJ84" s="49"/>
      <c r="AK84" s="49"/>
      <c r="AM84" s="59"/>
      <c r="AO84" s="155"/>
    </row>
    <row r="85" spans="1:41" ht="33" customHeight="1" x14ac:dyDescent="0.25">
      <c r="A85" s="774"/>
      <c r="B85" s="777" t="s">
        <v>538</v>
      </c>
      <c r="C85" s="779" t="s">
        <v>539</v>
      </c>
      <c r="D85" s="780"/>
      <c r="E85" s="523" t="s">
        <v>509</v>
      </c>
      <c r="F85" s="524">
        <v>1</v>
      </c>
      <c r="G85" s="524">
        <v>1</v>
      </c>
      <c r="H85" s="524">
        <v>1</v>
      </c>
      <c r="I85" s="524">
        <v>1</v>
      </c>
      <c r="J85" s="524">
        <v>1</v>
      </c>
      <c r="K85" s="524">
        <v>1</v>
      </c>
      <c r="L85" s="524">
        <v>1</v>
      </c>
      <c r="M85" s="524">
        <v>1</v>
      </c>
      <c r="N85" s="524">
        <v>1</v>
      </c>
      <c r="O85" s="524">
        <v>1</v>
      </c>
      <c r="P85" s="524">
        <v>1</v>
      </c>
      <c r="Q85" s="524">
        <v>1</v>
      </c>
      <c r="R85" s="524">
        <v>1</v>
      </c>
      <c r="S85" s="524">
        <v>1</v>
      </c>
      <c r="T85" s="524">
        <v>1</v>
      </c>
      <c r="U85" s="524">
        <v>1</v>
      </c>
      <c r="V85" s="524">
        <v>1</v>
      </c>
      <c r="W85" s="524">
        <v>1</v>
      </c>
      <c r="X85" s="524">
        <v>1</v>
      </c>
      <c r="Y85" s="524">
        <v>1</v>
      </c>
      <c r="Z85" s="524">
        <v>1</v>
      </c>
      <c r="AA85" s="524">
        <v>1</v>
      </c>
      <c r="AB85" s="524">
        <v>1</v>
      </c>
      <c r="AC85" s="525">
        <v>1</v>
      </c>
      <c r="AD85" s="49"/>
      <c r="AE85" s="49"/>
      <c r="AF85" s="49"/>
      <c r="AG85" s="49"/>
      <c r="AH85" s="49"/>
      <c r="AI85" s="49"/>
      <c r="AJ85" s="49"/>
      <c r="AK85" s="49"/>
      <c r="AM85" s="59"/>
      <c r="AO85" s="155"/>
    </row>
    <row r="86" spans="1:41" ht="33" customHeight="1" x14ac:dyDescent="0.25">
      <c r="A86" s="775"/>
      <c r="B86" s="760"/>
      <c r="C86" s="747"/>
      <c r="D86" s="763"/>
      <c r="E86" s="398" t="s">
        <v>507</v>
      </c>
      <c r="F86" s="417">
        <v>1</v>
      </c>
      <c r="G86" s="417">
        <v>1</v>
      </c>
      <c r="H86" s="417">
        <v>1</v>
      </c>
      <c r="I86" s="417">
        <v>1</v>
      </c>
      <c r="J86" s="417">
        <v>1</v>
      </c>
      <c r="K86" s="417">
        <v>1</v>
      </c>
      <c r="L86" s="417">
        <v>1</v>
      </c>
      <c r="M86" s="417">
        <v>1</v>
      </c>
      <c r="N86" s="417">
        <v>1</v>
      </c>
      <c r="O86" s="417">
        <v>1</v>
      </c>
      <c r="P86" s="417">
        <v>1</v>
      </c>
      <c r="Q86" s="417">
        <v>1</v>
      </c>
      <c r="R86" s="417">
        <v>1</v>
      </c>
      <c r="S86" s="417">
        <v>1</v>
      </c>
      <c r="T86" s="417">
        <v>1</v>
      </c>
      <c r="U86" s="417">
        <v>1</v>
      </c>
      <c r="V86" s="417">
        <v>1</v>
      </c>
      <c r="W86" s="417">
        <v>1</v>
      </c>
      <c r="X86" s="417">
        <v>1</v>
      </c>
      <c r="Y86" s="417">
        <v>1</v>
      </c>
      <c r="Z86" s="417">
        <v>1</v>
      </c>
      <c r="AA86" s="417">
        <v>1</v>
      </c>
      <c r="AB86" s="417">
        <v>1</v>
      </c>
      <c r="AC86" s="526">
        <v>1</v>
      </c>
      <c r="AD86" s="49"/>
      <c r="AE86" s="49"/>
      <c r="AF86" s="49"/>
      <c r="AG86" s="49"/>
      <c r="AH86" s="49"/>
      <c r="AI86" s="49"/>
      <c r="AJ86" s="49"/>
      <c r="AK86" s="49"/>
      <c r="AM86" s="59"/>
      <c r="AO86" s="155"/>
    </row>
    <row r="87" spans="1:41" ht="33" customHeight="1" thickBot="1" x14ac:dyDescent="0.3">
      <c r="A87" s="776"/>
      <c r="B87" s="778"/>
      <c r="C87" s="748"/>
      <c r="D87" s="781"/>
      <c r="E87" s="527" t="s">
        <v>508</v>
      </c>
      <c r="F87" s="528">
        <v>1</v>
      </c>
      <c r="G87" s="528">
        <v>1</v>
      </c>
      <c r="H87" s="528">
        <v>1</v>
      </c>
      <c r="I87" s="528">
        <v>1</v>
      </c>
      <c r="J87" s="528">
        <v>1</v>
      </c>
      <c r="K87" s="528">
        <v>1</v>
      </c>
      <c r="L87" s="528">
        <v>1</v>
      </c>
      <c r="M87" s="528">
        <v>1</v>
      </c>
      <c r="N87" s="528">
        <v>1</v>
      </c>
      <c r="O87" s="528">
        <v>1</v>
      </c>
      <c r="P87" s="528">
        <v>1</v>
      </c>
      <c r="Q87" s="528">
        <v>1</v>
      </c>
      <c r="R87" s="528">
        <v>1</v>
      </c>
      <c r="S87" s="528">
        <v>1</v>
      </c>
      <c r="T87" s="528">
        <v>1</v>
      </c>
      <c r="U87" s="528">
        <v>1</v>
      </c>
      <c r="V87" s="528">
        <v>1</v>
      </c>
      <c r="W87" s="528">
        <v>1</v>
      </c>
      <c r="X87" s="528">
        <v>1</v>
      </c>
      <c r="Y87" s="528">
        <v>1</v>
      </c>
      <c r="Z87" s="528">
        <v>1</v>
      </c>
      <c r="AA87" s="528">
        <v>1</v>
      </c>
      <c r="AB87" s="528">
        <v>1</v>
      </c>
      <c r="AC87" s="529">
        <v>1</v>
      </c>
      <c r="AD87" s="49"/>
      <c r="AE87" s="49"/>
      <c r="AF87" s="49"/>
      <c r="AG87" s="49"/>
      <c r="AH87" s="49"/>
      <c r="AI87" s="49"/>
      <c r="AJ87" s="49"/>
      <c r="AK87" s="49"/>
      <c r="AM87" s="59"/>
      <c r="AO87" s="155"/>
    </row>
    <row r="88" spans="1:41" ht="33" customHeight="1" x14ac:dyDescent="0.25">
      <c r="A88" s="756"/>
      <c r="B88" s="759" t="s">
        <v>538</v>
      </c>
      <c r="C88" s="762" t="s">
        <v>540</v>
      </c>
      <c r="D88" s="763"/>
      <c r="E88" s="401" t="s">
        <v>509</v>
      </c>
      <c r="F88" s="530">
        <v>0</v>
      </c>
      <c r="G88" s="530">
        <v>0</v>
      </c>
      <c r="H88" s="530">
        <v>0</v>
      </c>
      <c r="I88" s="530">
        <v>0</v>
      </c>
      <c r="J88" s="530">
        <v>0</v>
      </c>
      <c r="K88" s="530">
        <v>1</v>
      </c>
      <c r="L88" s="530">
        <v>1</v>
      </c>
      <c r="M88" s="530">
        <v>1</v>
      </c>
      <c r="N88" s="530">
        <v>1</v>
      </c>
      <c r="O88" s="530">
        <v>1</v>
      </c>
      <c r="P88" s="530">
        <v>1</v>
      </c>
      <c r="Q88" s="530">
        <v>1</v>
      </c>
      <c r="R88" s="530">
        <v>1</v>
      </c>
      <c r="S88" s="530">
        <v>1</v>
      </c>
      <c r="T88" s="530">
        <v>1</v>
      </c>
      <c r="U88" s="530">
        <v>1</v>
      </c>
      <c r="V88" s="530">
        <v>1</v>
      </c>
      <c r="W88" s="530">
        <v>1</v>
      </c>
      <c r="X88" s="530">
        <v>1</v>
      </c>
      <c r="Y88" s="530">
        <v>1</v>
      </c>
      <c r="Z88" s="530">
        <v>1</v>
      </c>
      <c r="AA88" s="530">
        <v>1</v>
      </c>
      <c r="AB88" s="530">
        <v>0</v>
      </c>
      <c r="AC88" s="531">
        <v>0</v>
      </c>
      <c r="AD88" s="49"/>
      <c r="AE88" s="49"/>
      <c r="AF88" s="49"/>
      <c r="AG88" s="49"/>
      <c r="AH88" s="49"/>
      <c r="AI88" s="49"/>
      <c r="AJ88" s="49"/>
      <c r="AK88" s="49"/>
      <c r="AM88" s="59"/>
      <c r="AO88" s="155"/>
    </row>
    <row r="89" spans="1:41" ht="33" customHeight="1" x14ac:dyDescent="0.25">
      <c r="A89" s="757"/>
      <c r="B89" s="760"/>
      <c r="C89" s="747"/>
      <c r="D89" s="763"/>
      <c r="E89" s="398" t="s">
        <v>507</v>
      </c>
      <c r="F89" s="417">
        <v>0</v>
      </c>
      <c r="G89" s="417">
        <v>0</v>
      </c>
      <c r="H89" s="417">
        <v>0</v>
      </c>
      <c r="I89" s="417">
        <v>0</v>
      </c>
      <c r="J89" s="417">
        <v>0</v>
      </c>
      <c r="K89" s="417">
        <v>1</v>
      </c>
      <c r="L89" s="417">
        <v>1</v>
      </c>
      <c r="M89" s="417">
        <v>1</v>
      </c>
      <c r="N89" s="417">
        <v>1</v>
      </c>
      <c r="O89" s="417">
        <v>1</v>
      </c>
      <c r="P89" s="417">
        <v>1</v>
      </c>
      <c r="Q89" s="417">
        <v>1</v>
      </c>
      <c r="R89" s="417">
        <v>1</v>
      </c>
      <c r="S89" s="417">
        <v>1</v>
      </c>
      <c r="T89" s="417">
        <v>1</v>
      </c>
      <c r="U89" s="417">
        <v>1</v>
      </c>
      <c r="V89" s="417">
        <v>1</v>
      </c>
      <c r="W89" s="417">
        <v>1</v>
      </c>
      <c r="X89" s="417">
        <v>1</v>
      </c>
      <c r="Y89" s="417">
        <v>1</v>
      </c>
      <c r="Z89" s="417">
        <v>1</v>
      </c>
      <c r="AA89" s="417">
        <v>1</v>
      </c>
      <c r="AB89" s="417">
        <v>1</v>
      </c>
      <c r="AC89" s="418">
        <v>1</v>
      </c>
      <c r="AD89" s="49"/>
      <c r="AE89" s="49"/>
      <c r="AF89" s="49"/>
      <c r="AG89" s="49"/>
      <c r="AH89" s="49"/>
      <c r="AI89" s="49"/>
      <c r="AJ89" s="49"/>
      <c r="AK89" s="49"/>
      <c r="AM89" s="59"/>
      <c r="AO89" s="155"/>
    </row>
    <row r="90" spans="1:41" ht="33" customHeight="1" thickBot="1" x14ac:dyDescent="0.3">
      <c r="A90" s="758"/>
      <c r="B90" s="761"/>
      <c r="C90" s="755"/>
      <c r="D90" s="764"/>
      <c r="E90" s="400" t="s">
        <v>508</v>
      </c>
      <c r="F90" s="419">
        <v>0</v>
      </c>
      <c r="G90" s="419">
        <v>0</v>
      </c>
      <c r="H90" s="419">
        <v>0</v>
      </c>
      <c r="I90" s="419">
        <v>0</v>
      </c>
      <c r="J90" s="419">
        <v>0</v>
      </c>
      <c r="K90" s="419">
        <v>1</v>
      </c>
      <c r="L90" s="419">
        <v>1</v>
      </c>
      <c r="M90" s="419">
        <v>1</v>
      </c>
      <c r="N90" s="419">
        <v>1</v>
      </c>
      <c r="O90" s="419">
        <v>1</v>
      </c>
      <c r="P90" s="419">
        <v>1</v>
      </c>
      <c r="Q90" s="419">
        <v>1</v>
      </c>
      <c r="R90" s="419">
        <v>1</v>
      </c>
      <c r="S90" s="419">
        <v>1</v>
      </c>
      <c r="T90" s="419">
        <v>1</v>
      </c>
      <c r="U90" s="419">
        <v>1</v>
      </c>
      <c r="V90" s="419">
        <v>1</v>
      </c>
      <c r="W90" s="419">
        <v>1</v>
      </c>
      <c r="X90" s="419">
        <v>1</v>
      </c>
      <c r="Y90" s="419">
        <v>1</v>
      </c>
      <c r="Z90" s="419">
        <v>1</v>
      </c>
      <c r="AA90" s="419">
        <v>1</v>
      </c>
      <c r="AB90" s="419">
        <v>1</v>
      </c>
      <c r="AC90" s="420">
        <v>1</v>
      </c>
      <c r="AD90" s="49"/>
      <c r="AE90" s="49"/>
      <c r="AF90" s="49"/>
      <c r="AG90" s="49"/>
      <c r="AH90" s="49"/>
      <c r="AI90" s="49"/>
      <c r="AJ90" s="49"/>
      <c r="AK90" s="49"/>
      <c r="AM90" s="59"/>
      <c r="AO90" s="155"/>
    </row>
    <row r="91" spans="1:41" ht="33" customHeight="1" x14ac:dyDescent="0.25">
      <c r="A91" s="752" t="s">
        <v>164</v>
      </c>
      <c r="B91" s="746" t="s">
        <v>538</v>
      </c>
      <c r="C91" s="746" t="s">
        <v>541</v>
      </c>
      <c r="D91" s="749" t="s">
        <v>654</v>
      </c>
      <c r="E91" s="396" t="s">
        <v>509</v>
      </c>
      <c r="F91" s="415">
        <v>131.9</v>
      </c>
      <c r="G91" s="415">
        <v>131.9</v>
      </c>
      <c r="H91" s="415">
        <v>131.9</v>
      </c>
      <c r="I91" s="415">
        <v>131.9</v>
      </c>
      <c r="J91" s="415">
        <v>131.9</v>
      </c>
      <c r="K91" s="415">
        <v>131.9</v>
      </c>
      <c r="L91" s="415">
        <v>131.9</v>
      </c>
      <c r="M91" s="415">
        <v>131.9</v>
      </c>
      <c r="N91" s="415">
        <v>131.9</v>
      </c>
      <c r="O91" s="415">
        <v>131.9</v>
      </c>
      <c r="P91" s="415">
        <v>131.9</v>
      </c>
      <c r="Q91" s="415">
        <v>131.9</v>
      </c>
      <c r="R91" s="415">
        <v>131.9</v>
      </c>
      <c r="S91" s="415">
        <v>131.9</v>
      </c>
      <c r="T91" s="415">
        <v>131.9</v>
      </c>
      <c r="U91" s="415">
        <v>131.9</v>
      </c>
      <c r="V91" s="415">
        <v>131.9</v>
      </c>
      <c r="W91" s="415">
        <v>131.9</v>
      </c>
      <c r="X91" s="415">
        <v>131.9</v>
      </c>
      <c r="Y91" s="415">
        <v>131.9</v>
      </c>
      <c r="Z91" s="415">
        <v>131.9</v>
      </c>
      <c r="AA91" s="415">
        <v>131.9</v>
      </c>
      <c r="AB91" s="415">
        <v>131.9</v>
      </c>
      <c r="AC91" s="416">
        <v>131.9</v>
      </c>
      <c r="AD91" s="49"/>
      <c r="AE91" s="49"/>
      <c r="AF91" s="49"/>
      <c r="AG91" s="49"/>
      <c r="AH91" s="49"/>
      <c r="AI91" s="49"/>
      <c r="AJ91" s="49"/>
      <c r="AK91" s="49"/>
      <c r="AM91" s="59"/>
      <c r="AO91" s="155"/>
    </row>
    <row r="92" spans="1:41" ht="33" customHeight="1" x14ac:dyDescent="0.25">
      <c r="A92" s="753"/>
      <c r="B92" s="747"/>
      <c r="C92" s="747"/>
      <c r="D92" s="750"/>
      <c r="E92" s="398" t="s">
        <v>507</v>
      </c>
      <c r="F92" s="417">
        <v>131.9</v>
      </c>
      <c r="G92" s="417">
        <v>131.9</v>
      </c>
      <c r="H92" s="417">
        <v>131.9</v>
      </c>
      <c r="I92" s="417">
        <v>131.9</v>
      </c>
      <c r="J92" s="417">
        <v>131.9</v>
      </c>
      <c r="K92" s="417">
        <v>131.9</v>
      </c>
      <c r="L92" s="417">
        <v>131.9</v>
      </c>
      <c r="M92" s="417">
        <v>131.9</v>
      </c>
      <c r="N92" s="417">
        <v>131.9</v>
      </c>
      <c r="O92" s="417">
        <v>131.9</v>
      </c>
      <c r="P92" s="417">
        <v>131.9</v>
      </c>
      <c r="Q92" s="417">
        <v>131.9</v>
      </c>
      <c r="R92" s="417">
        <v>131.9</v>
      </c>
      <c r="S92" s="417">
        <v>131.9</v>
      </c>
      <c r="T92" s="417">
        <v>131.9</v>
      </c>
      <c r="U92" s="417">
        <v>131.9</v>
      </c>
      <c r="V92" s="417">
        <v>131.9</v>
      </c>
      <c r="W92" s="417">
        <v>131.9</v>
      </c>
      <c r="X92" s="417">
        <v>131.9</v>
      </c>
      <c r="Y92" s="417">
        <v>131.9</v>
      </c>
      <c r="Z92" s="417">
        <v>131.9</v>
      </c>
      <c r="AA92" s="417">
        <v>131.9</v>
      </c>
      <c r="AB92" s="417">
        <v>131.9</v>
      </c>
      <c r="AC92" s="418">
        <v>131.9</v>
      </c>
      <c r="AD92" s="49"/>
      <c r="AE92" s="49"/>
      <c r="AF92" s="49"/>
      <c r="AG92" s="49"/>
      <c r="AH92" s="49"/>
      <c r="AI92" s="49"/>
      <c r="AJ92" s="49"/>
      <c r="AK92" s="49"/>
      <c r="AM92" s="59"/>
      <c r="AO92" s="155"/>
    </row>
    <row r="93" spans="1:41" ht="33" customHeight="1" thickBot="1" x14ac:dyDescent="0.3">
      <c r="A93" s="754"/>
      <c r="B93" s="755"/>
      <c r="C93" s="748"/>
      <c r="D93" s="751"/>
      <c r="E93" s="400" t="s">
        <v>508</v>
      </c>
      <c r="F93" s="419">
        <v>131.9</v>
      </c>
      <c r="G93" s="419">
        <v>131.9</v>
      </c>
      <c r="H93" s="419">
        <v>131.9</v>
      </c>
      <c r="I93" s="419">
        <v>131.9</v>
      </c>
      <c r="J93" s="419">
        <v>131.9</v>
      </c>
      <c r="K93" s="419">
        <v>131.9</v>
      </c>
      <c r="L93" s="419">
        <v>131.9</v>
      </c>
      <c r="M93" s="419">
        <v>131.9</v>
      </c>
      <c r="N93" s="419">
        <v>131.9</v>
      </c>
      <c r="O93" s="419">
        <v>131.9</v>
      </c>
      <c r="P93" s="419">
        <v>131.9</v>
      </c>
      <c r="Q93" s="419">
        <v>131.9</v>
      </c>
      <c r="R93" s="419">
        <v>131.9</v>
      </c>
      <c r="S93" s="419">
        <v>131.9</v>
      </c>
      <c r="T93" s="419">
        <v>131.9</v>
      </c>
      <c r="U93" s="419">
        <v>131.9</v>
      </c>
      <c r="V93" s="419">
        <v>131.9</v>
      </c>
      <c r="W93" s="419">
        <v>131.9</v>
      </c>
      <c r="X93" s="419">
        <v>131.9</v>
      </c>
      <c r="Y93" s="419">
        <v>131.9</v>
      </c>
      <c r="Z93" s="419">
        <v>131.9</v>
      </c>
      <c r="AA93" s="419">
        <v>131.9</v>
      </c>
      <c r="AB93" s="419">
        <v>131.9</v>
      </c>
      <c r="AC93" s="420">
        <v>131.9</v>
      </c>
    </row>
    <row r="94" spans="1:41" ht="25.15" customHeight="1" x14ac:dyDescent="0.25">
      <c r="A94" s="752" t="s">
        <v>542</v>
      </c>
      <c r="B94" s="746" t="s">
        <v>538</v>
      </c>
      <c r="C94" s="746" t="s">
        <v>543</v>
      </c>
      <c r="D94" s="749" t="s">
        <v>654</v>
      </c>
      <c r="E94" s="396" t="s">
        <v>509</v>
      </c>
      <c r="F94" s="415">
        <v>219.8</v>
      </c>
      <c r="G94" s="415">
        <v>219.8</v>
      </c>
      <c r="H94" s="415">
        <v>219.8</v>
      </c>
      <c r="I94" s="415">
        <v>219.8</v>
      </c>
      <c r="J94" s="415">
        <v>219.8</v>
      </c>
      <c r="K94" s="415">
        <v>219.8</v>
      </c>
      <c r="L94" s="415">
        <v>219.8</v>
      </c>
      <c r="M94" s="415">
        <v>219.8</v>
      </c>
      <c r="N94" s="415">
        <v>219.8</v>
      </c>
      <c r="O94" s="415">
        <v>219.8</v>
      </c>
      <c r="P94" s="415">
        <v>219.8</v>
      </c>
      <c r="Q94" s="415">
        <v>219.8</v>
      </c>
      <c r="R94" s="415">
        <v>219.8</v>
      </c>
      <c r="S94" s="415">
        <v>219.8</v>
      </c>
      <c r="T94" s="415">
        <v>219.8</v>
      </c>
      <c r="U94" s="415">
        <v>219.8</v>
      </c>
      <c r="V94" s="415">
        <v>219.8</v>
      </c>
      <c r="W94" s="415">
        <v>219.8</v>
      </c>
      <c r="X94" s="415">
        <v>219.8</v>
      </c>
      <c r="Y94" s="415">
        <v>219.8</v>
      </c>
      <c r="Z94" s="415">
        <v>219.8</v>
      </c>
      <c r="AA94" s="415">
        <v>219.8</v>
      </c>
      <c r="AB94" s="415">
        <v>219.8</v>
      </c>
      <c r="AC94" s="416">
        <v>219.8</v>
      </c>
    </row>
    <row r="95" spans="1:41" ht="25.15" customHeight="1" x14ac:dyDescent="0.25">
      <c r="A95" s="753"/>
      <c r="B95" s="747"/>
      <c r="C95" s="747"/>
      <c r="D95" s="750"/>
      <c r="E95" s="398" t="s">
        <v>507</v>
      </c>
      <c r="F95" s="417">
        <v>219.8</v>
      </c>
      <c r="G95" s="417">
        <v>219.8</v>
      </c>
      <c r="H95" s="417">
        <v>219.8</v>
      </c>
      <c r="I95" s="417">
        <v>219.8</v>
      </c>
      <c r="J95" s="417">
        <v>219.8</v>
      </c>
      <c r="K95" s="417">
        <v>219.8</v>
      </c>
      <c r="L95" s="417">
        <v>219.8</v>
      </c>
      <c r="M95" s="417">
        <v>219.8</v>
      </c>
      <c r="N95" s="417">
        <v>219.8</v>
      </c>
      <c r="O95" s="417">
        <v>219.8</v>
      </c>
      <c r="P95" s="417">
        <v>219.8</v>
      </c>
      <c r="Q95" s="417">
        <v>219.8</v>
      </c>
      <c r="R95" s="417">
        <v>219.8</v>
      </c>
      <c r="S95" s="417">
        <v>219.8</v>
      </c>
      <c r="T95" s="417">
        <v>219.8</v>
      </c>
      <c r="U95" s="417">
        <v>219.8</v>
      </c>
      <c r="V95" s="417">
        <v>219.8</v>
      </c>
      <c r="W95" s="417">
        <v>219.8</v>
      </c>
      <c r="X95" s="417">
        <v>219.8</v>
      </c>
      <c r="Y95" s="417">
        <v>219.8</v>
      </c>
      <c r="Z95" s="417">
        <v>219.8</v>
      </c>
      <c r="AA95" s="417">
        <v>219.8</v>
      </c>
      <c r="AB95" s="417">
        <v>219.8</v>
      </c>
      <c r="AC95" s="418">
        <v>219.8</v>
      </c>
    </row>
    <row r="96" spans="1:41" ht="25.15" customHeight="1" thickBot="1" x14ac:dyDescent="0.3">
      <c r="A96" s="754"/>
      <c r="B96" s="755"/>
      <c r="C96" s="748"/>
      <c r="D96" s="751"/>
      <c r="E96" s="400" t="s">
        <v>508</v>
      </c>
      <c r="F96" s="419">
        <v>219.8</v>
      </c>
      <c r="G96" s="419">
        <v>219.8</v>
      </c>
      <c r="H96" s="419">
        <v>219.8</v>
      </c>
      <c r="I96" s="419">
        <v>219.8</v>
      </c>
      <c r="J96" s="419">
        <v>219.8</v>
      </c>
      <c r="K96" s="419">
        <v>219.8</v>
      </c>
      <c r="L96" s="419">
        <v>219.8</v>
      </c>
      <c r="M96" s="419">
        <v>219.8</v>
      </c>
      <c r="N96" s="419">
        <v>219.8</v>
      </c>
      <c r="O96" s="419">
        <v>219.8</v>
      </c>
      <c r="P96" s="419">
        <v>219.8</v>
      </c>
      <c r="Q96" s="419">
        <v>219.8</v>
      </c>
      <c r="R96" s="419">
        <v>219.8</v>
      </c>
      <c r="S96" s="419">
        <v>219.8</v>
      </c>
      <c r="T96" s="419">
        <v>219.8</v>
      </c>
      <c r="U96" s="419">
        <v>219.8</v>
      </c>
      <c r="V96" s="419">
        <v>219.8</v>
      </c>
      <c r="W96" s="419">
        <v>219.8</v>
      </c>
      <c r="X96" s="419">
        <v>219.8</v>
      </c>
      <c r="Y96" s="419">
        <v>219.8</v>
      </c>
      <c r="Z96" s="419">
        <v>219.8</v>
      </c>
      <c r="AA96" s="419">
        <v>219.8</v>
      </c>
      <c r="AB96" s="419">
        <v>219.8</v>
      </c>
      <c r="AC96" s="420">
        <v>219.8</v>
      </c>
    </row>
    <row r="97" spans="1:41" x14ac:dyDescent="0.25">
      <c r="A97" s="384"/>
      <c r="B97" s="384"/>
      <c r="C97" s="384"/>
      <c r="D97" s="384"/>
      <c r="F97" s="387"/>
      <c r="G97" s="387"/>
      <c r="H97" s="387"/>
      <c r="I97" s="387"/>
      <c r="J97" s="387"/>
      <c r="K97" s="387"/>
      <c r="L97" s="387"/>
      <c r="M97" s="387"/>
      <c r="N97" s="387"/>
      <c r="O97" s="387"/>
      <c r="P97" s="387"/>
      <c r="Q97" s="387"/>
      <c r="R97" s="387"/>
      <c r="S97" s="387"/>
      <c r="T97" s="387"/>
      <c r="U97" s="387"/>
      <c r="V97" s="387"/>
      <c r="W97" s="387"/>
      <c r="X97" s="387"/>
      <c r="Y97" s="387"/>
      <c r="Z97" s="387"/>
      <c r="AA97" s="387"/>
      <c r="AB97" s="387"/>
      <c r="AC97" s="387"/>
    </row>
    <row r="98" spans="1:41" x14ac:dyDescent="0.25">
      <c r="A98" s="384"/>
      <c r="B98" s="384"/>
      <c r="C98" s="384"/>
      <c r="D98" s="384"/>
      <c r="F98" s="387"/>
      <c r="G98" s="387"/>
      <c r="H98" s="387"/>
      <c r="I98" s="387"/>
      <c r="J98" s="387"/>
      <c r="K98" s="387"/>
      <c r="L98" s="387"/>
      <c r="M98" s="387"/>
      <c r="N98" s="387"/>
      <c r="O98" s="387"/>
      <c r="P98" s="387"/>
      <c r="Q98" s="387"/>
      <c r="R98" s="387"/>
      <c r="S98" s="387"/>
      <c r="T98" s="387"/>
      <c r="U98" s="387"/>
      <c r="V98" s="387"/>
      <c r="W98" s="387"/>
      <c r="X98" s="387"/>
      <c r="Y98" s="387"/>
      <c r="Z98" s="387"/>
      <c r="AA98" s="387"/>
      <c r="AB98" s="387"/>
      <c r="AC98" s="387"/>
    </row>
    <row r="99" spans="1:41" x14ac:dyDescent="0.25">
      <c r="A99" s="384"/>
      <c r="B99" s="384"/>
      <c r="C99" s="384"/>
      <c r="D99" s="384"/>
      <c r="F99" s="387"/>
      <c r="G99" s="387"/>
      <c r="H99" s="387"/>
      <c r="I99" s="387"/>
      <c r="J99" s="387"/>
      <c r="K99" s="387"/>
      <c r="L99" s="387"/>
      <c r="M99" s="387"/>
      <c r="N99" s="387"/>
      <c r="O99" s="387"/>
      <c r="P99" s="387"/>
      <c r="Q99" s="387"/>
      <c r="R99" s="387"/>
      <c r="S99" s="387"/>
      <c r="T99" s="387"/>
      <c r="U99" s="387"/>
      <c r="V99" s="387"/>
      <c r="W99" s="387"/>
      <c r="X99" s="387"/>
      <c r="Y99" s="387"/>
      <c r="Z99" s="387"/>
      <c r="AA99" s="387"/>
      <c r="AB99" s="387"/>
      <c r="AC99" s="387"/>
    </row>
    <row r="100" spans="1:41" x14ac:dyDescent="0.25">
      <c r="A100" s="384"/>
      <c r="B100" s="384"/>
      <c r="C100" s="384"/>
      <c r="D100" s="384"/>
      <c r="F100" s="387"/>
      <c r="G100" s="387"/>
      <c r="H100" s="387"/>
      <c r="I100" s="387"/>
      <c r="J100" s="387"/>
      <c r="K100" s="387"/>
      <c r="L100" s="387"/>
      <c r="M100" s="387"/>
      <c r="N100" s="387"/>
      <c r="O100" s="387"/>
      <c r="P100" s="387"/>
      <c r="Q100" s="387"/>
      <c r="R100" s="387"/>
      <c r="S100" s="387"/>
      <c r="T100" s="387"/>
      <c r="U100" s="387"/>
      <c r="V100" s="387"/>
      <c r="W100" s="387"/>
      <c r="X100" s="387"/>
      <c r="Y100" s="387"/>
      <c r="Z100" s="387"/>
      <c r="AA100" s="387"/>
      <c r="AB100" s="387"/>
      <c r="AC100" s="387"/>
    </row>
    <row r="101" spans="1:41" x14ac:dyDescent="0.25">
      <c r="A101" s="384"/>
      <c r="B101" s="384"/>
      <c r="C101" s="384"/>
      <c r="D101" s="384"/>
      <c r="F101" s="387"/>
      <c r="G101" s="387"/>
      <c r="H101" s="387"/>
      <c r="I101" s="387"/>
      <c r="J101" s="387"/>
      <c r="K101" s="387"/>
      <c r="L101" s="387"/>
      <c r="M101" s="387"/>
      <c r="N101" s="387"/>
      <c r="O101" s="387"/>
      <c r="P101" s="387"/>
      <c r="Q101" s="387"/>
      <c r="R101" s="387"/>
      <c r="S101" s="387"/>
      <c r="T101" s="387"/>
      <c r="U101" s="387"/>
      <c r="V101" s="387"/>
      <c r="W101" s="387"/>
      <c r="X101" s="387"/>
      <c r="Y101" s="387"/>
      <c r="Z101" s="387"/>
      <c r="AA101" s="387"/>
      <c r="AB101" s="387"/>
      <c r="AC101" s="387"/>
    </row>
    <row r="102" spans="1:41" x14ac:dyDescent="0.25">
      <c r="A102" s="384"/>
      <c r="B102" s="384"/>
      <c r="C102" s="384"/>
      <c r="D102" s="384"/>
      <c r="F102" s="387"/>
      <c r="G102" s="387"/>
      <c r="H102" s="387"/>
      <c r="I102" s="387"/>
      <c r="J102" s="387"/>
      <c r="K102" s="387"/>
      <c r="L102" s="387"/>
      <c r="M102" s="387"/>
      <c r="N102" s="387"/>
      <c r="O102" s="387"/>
      <c r="P102" s="387"/>
      <c r="Q102" s="387"/>
      <c r="R102" s="387"/>
      <c r="S102" s="387"/>
      <c r="T102" s="387"/>
      <c r="U102" s="387"/>
      <c r="V102" s="387"/>
      <c r="W102" s="387"/>
      <c r="X102" s="387"/>
      <c r="Y102" s="387"/>
      <c r="Z102" s="387"/>
      <c r="AA102" s="387"/>
      <c r="AB102" s="387"/>
      <c r="AC102" s="387"/>
    </row>
    <row r="103" spans="1:41" x14ac:dyDescent="0.25">
      <c r="A103" s="384"/>
      <c r="B103" s="384"/>
      <c r="C103" s="384"/>
      <c r="D103" s="384"/>
      <c r="F103" s="387"/>
      <c r="G103" s="387"/>
      <c r="H103" s="387"/>
      <c r="I103" s="387"/>
      <c r="J103" s="387"/>
      <c r="K103" s="387"/>
      <c r="L103" s="387"/>
      <c r="M103" s="387"/>
      <c r="N103" s="387"/>
      <c r="O103" s="387"/>
      <c r="P103" s="387"/>
      <c r="Q103" s="387"/>
      <c r="R103" s="387"/>
      <c r="S103" s="387"/>
      <c r="T103" s="387"/>
      <c r="U103" s="387"/>
      <c r="V103" s="387"/>
      <c r="W103" s="387"/>
      <c r="X103" s="387"/>
      <c r="Y103" s="387"/>
      <c r="Z103" s="387"/>
      <c r="AA103" s="387"/>
      <c r="AB103" s="387"/>
      <c r="AC103" s="387"/>
    </row>
    <row r="104" spans="1:41" ht="12.75" x14ac:dyDescent="0.2">
      <c r="A104" s="28" t="s">
        <v>75</v>
      </c>
      <c r="B104" s="28"/>
      <c r="C104" s="28"/>
      <c r="D104" s="28"/>
      <c r="E104" s="28"/>
      <c r="F104" s="28"/>
      <c r="G104" s="28"/>
      <c r="H104" s="28"/>
      <c r="I104" s="28"/>
      <c r="J104" s="28"/>
      <c r="K104" s="28"/>
      <c r="L104" s="28"/>
      <c r="M104" s="28"/>
      <c r="N104" s="28"/>
      <c r="O104" s="28"/>
      <c r="P104" s="28"/>
      <c r="Q104" s="28"/>
      <c r="R104" s="28"/>
      <c r="S104" s="28"/>
      <c r="T104" s="28"/>
      <c r="U104" s="28"/>
      <c r="V104" s="28"/>
      <c r="W104" s="28"/>
      <c r="X104" s="28"/>
      <c r="Y104" s="28"/>
      <c r="Z104" s="28"/>
      <c r="AA104" s="28"/>
      <c r="AB104" s="28"/>
      <c r="AC104" s="28"/>
      <c r="AD104" s="28"/>
      <c r="AE104" s="28"/>
      <c r="AF104" s="28"/>
      <c r="AG104" s="28"/>
      <c r="AH104" s="28"/>
      <c r="AI104" s="28"/>
      <c r="AJ104" s="28"/>
      <c r="AK104" s="28"/>
      <c r="AL104" s="28"/>
      <c r="AM104" s="28"/>
      <c r="AN104" s="28"/>
      <c r="AO104" s="28"/>
    </row>
    <row r="105" spans="1:41" x14ac:dyDescent="0.25">
      <c r="A105" s="384"/>
      <c r="B105" s="384"/>
      <c r="C105" s="384"/>
      <c r="D105" s="384"/>
      <c r="F105" s="387"/>
      <c r="G105" s="387"/>
      <c r="H105" s="387"/>
      <c r="I105" s="387"/>
      <c r="J105" s="387"/>
      <c r="K105" s="387"/>
      <c r="L105" s="387"/>
      <c r="M105" s="387"/>
      <c r="N105" s="387"/>
      <c r="O105" s="387"/>
      <c r="P105" s="387"/>
      <c r="Q105" s="387"/>
      <c r="R105" s="387"/>
      <c r="S105" s="387"/>
      <c r="T105" s="387"/>
      <c r="U105" s="387"/>
      <c r="V105" s="387"/>
      <c r="W105" s="387"/>
      <c r="X105" s="387"/>
      <c r="Y105" s="387"/>
      <c r="Z105" s="387"/>
      <c r="AA105" s="387"/>
      <c r="AB105" s="387"/>
      <c r="AC105" s="387"/>
    </row>
    <row r="106" spans="1:41" x14ac:dyDescent="0.25">
      <c r="A106" s="384"/>
      <c r="B106" s="384"/>
      <c r="C106" s="384"/>
      <c r="D106" s="384"/>
      <c r="F106" s="387"/>
      <c r="G106" s="387"/>
      <c r="H106" s="387"/>
      <c r="I106" s="387"/>
      <c r="J106" s="387"/>
      <c r="K106" s="387"/>
      <c r="L106" s="387"/>
      <c r="M106" s="387"/>
      <c r="N106" s="387"/>
      <c r="O106" s="387"/>
      <c r="P106" s="387"/>
      <c r="Q106" s="387"/>
      <c r="R106" s="387"/>
      <c r="S106" s="387"/>
      <c r="T106" s="387"/>
      <c r="U106" s="387"/>
      <c r="V106" s="387"/>
      <c r="W106" s="387"/>
      <c r="X106" s="387"/>
      <c r="Y106" s="387"/>
      <c r="Z106" s="387"/>
      <c r="AA106" s="387"/>
      <c r="AB106" s="387"/>
      <c r="AC106" s="387"/>
    </row>
    <row r="107" spans="1:41" x14ac:dyDescent="0.25">
      <c r="A107" s="384"/>
      <c r="B107" s="384"/>
      <c r="C107" s="384"/>
      <c r="D107" s="384"/>
      <c r="F107" s="387"/>
      <c r="G107" s="387"/>
      <c r="H107" s="387"/>
      <c r="I107" s="387"/>
      <c r="J107" s="387"/>
      <c r="K107" s="387"/>
      <c r="L107" s="387"/>
      <c r="M107" s="387"/>
      <c r="N107" s="387"/>
      <c r="O107" s="387"/>
      <c r="P107" s="387"/>
      <c r="Q107" s="387"/>
      <c r="R107" s="387"/>
      <c r="S107" s="387"/>
      <c r="T107" s="387"/>
      <c r="U107" s="387"/>
      <c r="V107" s="387"/>
      <c r="W107" s="387"/>
      <c r="X107" s="387"/>
      <c r="Y107" s="387"/>
      <c r="Z107" s="387"/>
      <c r="AA107" s="387"/>
      <c r="AB107" s="387"/>
      <c r="AC107" s="387"/>
    </row>
    <row r="108" spans="1:41" x14ac:dyDescent="0.25">
      <c r="A108" s="384"/>
      <c r="B108" s="384"/>
      <c r="C108" s="384"/>
      <c r="D108" s="384"/>
      <c r="F108" s="387"/>
      <c r="G108" s="387"/>
      <c r="H108" s="387"/>
      <c r="I108" s="387"/>
      <c r="J108" s="387"/>
      <c r="K108" s="387"/>
      <c r="L108" s="387"/>
      <c r="M108" s="387"/>
      <c r="N108" s="387"/>
      <c r="O108" s="387"/>
      <c r="P108" s="387"/>
      <c r="Q108" s="387"/>
      <c r="R108" s="387"/>
      <c r="S108" s="387"/>
      <c r="T108" s="387"/>
      <c r="U108" s="387"/>
      <c r="V108" s="387"/>
      <c r="W108" s="387"/>
      <c r="X108" s="387"/>
      <c r="Y108" s="387"/>
      <c r="Z108" s="387"/>
      <c r="AA108" s="387"/>
      <c r="AB108" s="387"/>
      <c r="AC108" s="387"/>
    </row>
    <row r="109" spans="1:41" x14ac:dyDescent="0.25">
      <c r="B109" s="254"/>
    </row>
    <row r="110" spans="1:41" x14ac:dyDescent="0.25">
      <c r="B110" s="254"/>
    </row>
    <row r="111" spans="1:41" x14ac:dyDescent="0.25">
      <c r="B111" s="254"/>
    </row>
    <row r="114" spans="2:15" ht="11.45" hidden="1" customHeight="1" x14ac:dyDescent="0.25"/>
    <row r="115" spans="2:15" s="28" customFormat="1" ht="13.15" hidden="1" customHeight="1" x14ac:dyDescent="0.2">
      <c r="B115" s="28" t="s">
        <v>75</v>
      </c>
      <c r="E115" s="29"/>
      <c r="F115" s="30"/>
      <c r="G115" s="31"/>
    </row>
    <row r="116" spans="2:15" ht="12" hidden="1" customHeight="1" thickBot="1" x14ac:dyDescent="0.3"/>
    <row r="117" spans="2:15" hidden="1" x14ac:dyDescent="0.25"/>
    <row r="118" spans="2:15" ht="12.75" hidden="1" x14ac:dyDescent="0.25">
      <c r="B118" s="261" t="s">
        <v>544</v>
      </c>
    </row>
    <row r="119" spans="2:15" ht="44.45" hidden="1" customHeight="1" x14ac:dyDescent="0.25">
      <c r="B119" s="710" t="s">
        <v>545</v>
      </c>
      <c r="C119" s="710"/>
      <c r="D119" s="710"/>
      <c r="E119" s="710"/>
      <c r="F119" s="710"/>
      <c r="G119" s="710"/>
      <c r="H119" s="710"/>
      <c r="I119" s="710"/>
      <c r="J119" s="710"/>
      <c r="K119" s="710"/>
      <c r="L119" s="710"/>
      <c r="M119" s="710"/>
      <c r="N119" s="710"/>
      <c r="O119" s="710"/>
    </row>
    <row r="120" spans="2:15" hidden="1" x14ac:dyDescent="0.25"/>
    <row r="121" spans="2:15" hidden="1" x14ac:dyDescent="0.25"/>
    <row r="122" spans="2:15" hidden="1" x14ac:dyDescent="0.25"/>
    <row r="123" spans="2:15" hidden="1" x14ac:dyDescent="0.25"/>
    <row r="124" spans="2:15" hidden="1" x14ac:dyDescent="0.25"/>
    <row r="125" spans="2:15" hidden="1" x14ac:dyDescent="0.25"/>
    <row r="126" spans="2:15" hidden="1" x14ac:dyDescent="0.25"/>
    <row r="127" spans="2:15" hidden="1" x14ac:dyDescent="0.25"/>
    <row r="128" spans="2:15" hidden="1" x14ac:dyDescent="0.25"/>
    <row r="129" hidden="1" x14ac:dyDescent="0.25"/>
    <row r="130" hidden="1" x14ac:dyDescent="0.25"/>
    <row r="131" hidden="1" x14ac:dyDescent="0.25"/>
    <row r="132" hidden="1" x14ac:dyDescent="0.25"/>
    <row r="133" hidden="1" x14ac:dyDescent="0.25"/>
    <row r="134" hidden="1" x14ac:dyDescent="0.25"/>
    <row r="135" hidden="1" x14ac:dyDescent="0.25"/>
    <row r="136" hidden="1" x14ac:dyDescent="0.25"/>
    <row r="137" hidden="1" x14ac:dyDescent="0.25"/>
    <row r="138" hidden="1" x14ac:dyDescent="0.25"/>
    <row r="139" hidden="1" x14ac:dyDescent="0.25"/>
    <row r="140" hidden="1" x14ac:dyDescent="0.25"/>
    <row r="141" hidden="1" x14ac:dyDescent="0.25"/>
    <row r="142" hidden="1" x14ac:dyDescent="0.25"/>
    <row r="143" hidden="1" x14ac:dyDescent="0.25"/>
    <row r="144" hidden="1" x14ac:dyDescent="0.25"/>
    <row r="145" spans="2:2" hidden="1" x14ac:dyDescent="0.25"/>
    <row r="146" spans="2:2" hidden="1" x14ac:dyDescent="0.25"/>
    <row r="147" spans="2:2" hidden="1" x14ac:dyDescent="0.25">
      <c r="B147" s="47" t="e" vm="1">
        <v>#VALUE!</v>
      </c>
    </row>
    <row r="148" spans="2:2" hidden="1" x14ac:dyDescent="0.25"/>
    <row r="149" spans="2:2" hidden="1" x14ac:dyDescent="0.25"/>
    <row r="150" spans="2:2" hidden="1" x14ac:dyDescent="0.25"/>
    <row r="151" spans="2:2" hidden="1" x14ac:dyDescent="0.25"/>
    <row r="152" spans="2:2" hidden="1" x14ac:dyDescent="0.25"/>
    <row r="153" spans="2:2" hidden="1" x14ac:dyDescent="0.25"/>
    <row r="154" spans="2:2" hidden="1" x14ac:dyDescent="0.25"/>
    <row r="155" spans="2:2" hidden="1" x14ac:dyDescent="0.25"/>
    <row r="156" spans="2:2" hidden="1" x14ac:dyDescent="0.25"/>
    <row r="157" spans="2:2" hidden="1" x14ac:dyDescent="0.25"/>
    <row r="158" spans="2:2" hidden="1" x14ac:dyDescent="0.25"/>
    <row r="159" spans="2:2" hidden="1" x14ac:dyDescent="0.25"/>
    <row r="160" spans="2:2" hidden="1" x14ac:dyDescent="0.25"/>
    <row r="161" hidden="1" x14ac:dyDescent="0.25"/>
    <row r="162" hidden="1" x14ac:dyDescent="0.25"/>
    <row r="163" hidden="1" x14ac:dyDescent="0.25"/>
    <row r="164" hidden="1" x14ac:dyDescent="0.25"/>
    <row r="165" hidden="1" x14ac:dyDescent="0.25"/>
    <row r="166" hidden="1" x14ac:dyDescent="0.25"/>
    <row r="167" hidden="1" x14ac:dyDescent="0.25"/>
    <row r="168" hidden="1" x14ac:dyDescent="0.25"/>
    <row r="169" hidden="1" x14ac:dyDescent="0.25"/>
    <row r="170" hidden="1" x14ac:dyDescent="0.25"/>
    <row r="171" hidden="1" x14ac:dyDescent="0.25"/>
    <row r="172" hidden="1" x14ac:dyDescent="0.25"/>
    <row r="173" hidden="1" x14ac:dyDescent="0.25"/>
    <row r="174" hidden="1" x14ac:dyDescent="0.25"/>
    <row r="175" hidden="1" x14ac:dyDescent="0.25"/>
    <row r="176" hidden="1" x14ac:dyDescent="0.25"/>
    <row r="177" hidden="1" x14ac:dyDescent="0.25"/>
    <row r="178" hidden="1" x14ac:dyDescent="0.25"/>
    <row r="179" hidden="1" x14ac:dyDescent="0.25"/>
    <row r="180" hidden="1" x14ac:dyDescent="0.25"/>
    <row r="181" hidden="1" x14ac:dyDescent="0.25"/>
    <row r="182" hidden="1" x14ac:dyDescent="0.25"/>
    <row r="183" hidden="1" x14ac:dyDescent="0.25"/>
    <row r="184" hidden="1" x14ac:dyDescent="0.25"/>
    <row r="185" hidden="1" x14ac:dyDescent="0.25"/>
    <row r="186" hidden="1" x14ac:dyDescent="0.25"/>
    <row r="187" hidden="1" x14ac:dyDescent="0.25"/>
    <row r="188" hidden="1" x14ac:dyDescent="0.25"/>
    <row r="189" hidden="1" x14ac:dyDescent="0.25"/>
    <row r="190" hidden="1" x14ac:dyDescent="0.25"/>
    <row r="191" hidden="1" x14ac:dyDescent="0.25"/>
    <row r="192" hidden="1" x14ac:dyDescent="0.25"/>
    <row r="193" hidden="1" x14ac:dyDescent="0.25"/>
    <row r="194" hidden="1" x14ac:dyDescent="0.25"/>
    <row r="195" hidden="1" x14ac:dyDescent="0.25"/>
    <row r="196" hidden="1" x14ac:dyDescent="0.25"/>
    <row r="197" hidden="1" x14ac:dyDescent="0.25"/>
    <row r="198" hidden="1" x14ac:dyDescent="0.25"/>
    <row r="199" hidden="1" x14ac:dyDescent="0.25"/>
    <row r="200" hidden="1" x14ac:dyDescent="0.25"/>
    <row r="201" hidden="1" x14ac:dyDescent="0.25"/>
    <row r="202" hidden="1" x14ac:dyDescent="0.25"/>
    <row r="203" hidden="1" x14ac:dyDescent="0.25"/>
    <row r="204" hidden="1" x14ac:dyDescent="0.25"/>
    <row r="205" hidden="1" x14ac:dyDescent="0.25"/>
    <row r="206" hidden="1" x14ac:dyDescent="0.25"/>
    <row r="207" hidden="1" x14ac:dyDescent="0.25"/>
    <row r="208" hidden="1" x14ac:dyDescent="0.25"/>
    <row r="209" hidden="1" x14ac:dyDescent="0.25"/>
    <row r="210" hidden="1" x14ac:dyDescent="0.25"/>
    <row r="211" hidden="1" x14ac:dyDescent="0.25"/>
    <row r="212" hidden="1" x14ac:dyDescent="0.25"/>
  </sheetData>
  <mergeCells count="131">
    <mergeCell ref="D57:D59"/>
    <mergeCell ref="B53:B55"/>
    <mergeCell ref="C53:C55"/>
    <mergeCell ref="D53:D55"/>
    <mergeCell ref="A85:A87"/>
    <mergeCell ref="B85:B87"/>
    <mergeCell ref="C85:C87"/>
    <mergeCell ref="D85:D87"/>
    <mergeCell ref="A69:A71"/>
    <mergeCell ref="B72:B74"/>
    <mergeCell ref="C72:C74"/>
    <mergeCell ref="D72:D74"/>
    <mergeCell ref="B66:B68"/>
    <mergeCell ref="C66:C68"/>
    <mergeCell ref="D66:D68"/>
    <mergeCell ref="B69:B71"/>
    <mergeCell ref="C69:C71"/>
    <mergeCell ref="D69:D71"/>
    <mergeCell ref="A81:A83"/>
    <mergeCell ref="B81:B83"/>
    <mergeCell ref="C81:C83"/>
    <mergeCell ref="D81:D83"/>
    <mergeCell ref="C94:C96"/>
    <mergeCell ref="D94:D96"/>
    <mergeCell ref="A94:A96"/>
    <mergeCell ref="B94:B96"/>
    <mergeCell ref="A88:A90"/>
    <mergeCell ref="B88:B90"/>
    <mergeCell ref="C88:C90"/>
    <mergeCell ref="D88:D90"/>
    <mergeCell ref="A91:A93"/>
    <mergeCell ref="B91:B93"/>
    <mergeCell ref="C91:C93"/>
    <mergeCell ref="D91:D93"/>
    <mergeCell ref="A1:AC1"/>
    <mergeCell ref="A56:AC56"/>
    <mergeCell ref="A84:AC84"/>
    <mergeCell ref="A29:A31"/>
    <mergeCell ref="B29:B31"/>
    <mergeCell ref="C29:C31"/>
    <mergeCell ref="D29:D31"/>
    <mergeCell ref="A32:A34"/>
    <mergeCell ref="B32:B34"/>
    <mergeCell ref="C32:C34"/>
    <mergeCell ref="D32:D34"/>
    <mergeCell ref="C75:C77"/>
    <mergeCell ref="D75:D77"/>
    <mergeCell ref="B78:B80"/>
    <mergeCell ref="C78:C80"/>
    <mergeCell ref="D78:D80"/>
    <mergeCell ref="A72:A74"/>
    <mergeCell ref="A75:A77"/>
    <mergeCell ref="A78:A80"/>
    <mergeCell ref="B75:B77"/>
    <mergeCell ref="A57:A59"/>
    <mergeCell ref="A60:A62"/>
    <mergeCell ref="A63:A65"/>
    <mergeCell ref="A66:A68"/>
    <mergeCell ref="A2:A3"/>
    <mergeCell ref="C22:C24"/>
    <mergeCell ref="C25:C27"/>
    <mergeCell ref="B22:B24"/>
    <mergeCell ref="B25:B27"/>
    <mergeCell ref="A22:A24"/>
    <mergeCell ref="A25:A27"/>
    <mergeCell ref="A4:A6"/>
    <mergeCell ref="A7:A9"/>
    <mergeCell ref="A10:A12"/>
    <mergeCell ref="A13:A15"/>
    <mergeCell ref="A16:A18"/>
    <mergeCell ref="B16:B18"/>
    <mergeCell ref="C16:C18"/>
    <mergeCell ref="B41:B43"/>
    <mergeCell ref="C41:C43"/>
    <mergeCell ref="D41:D43"/>
    <mergeCell ref="A44:A46"/>
    <mergeCell ref="B44:B46"/>
    <mergeCell ref="C44:C46"/>
    <mergeCell ref="D44:D46"/>
    <mergeCell ref="A50:A52"/>
    <mergeCell ref="B50:B52"/>
    <mergeCell ref="A41:A43"/>
    <mergeCell ref="C50:C52"/>
    <mergeCell ref="B119:O119"/>
    <mergeCell ref="B2:B3"/>
    <mergeCell ref="C2:C3"/>
    <mergeCell ref="D2:D3"/>
    <mergeCell ref="E2:E3"/>
    <mergeCell ref="F2:AC2"/>
    <mergeCell ref="B60:B62"/>
    <mergeCell ref="C60:C62"/>
    <mergeCell ref="D60:D62"/>
    <mergeCell ref="B4:B6"/>
    <mergeCell ref="C4:C6"/>
    <mergeCell ref="D4:D6"/>
    <mergeCell ref="B7:B9"/>
    <mergeCell ref="C7:C9"/>
    <mergeCell ref="D7:D9"/>
    <mergeCell ref="B13:B15"/>
    <mergeCell ref="C13:C15"/>
    <mergeCell ref="D13:D15"/>
    <mergeCell ref="B10:B12"/>
    <mergeCell ref="C10:C12"/>
    <mergeCell ref="D10:D12"/>
    <mergeCell ref="B57:B59"/>
    <mergeCell ref="C57:C59"/>
    <mergeCell ref="D50:D52"/>
    <mergeCell ref="D16:D18"/>
    <mergeCell ref="B19:B21"/>
    <mergeCell ref="C19:C21"/>
    <mergeCell ref="D19:D21"/>
    <mergeCell ref="D22:D24"/>
    <mergeCell ref="D25:D27"/>
    <mergeCell ref="A28:AC28"/>
    <mergeCell ref="B63:B65"/>
    <mergeCell ref="C63:C65"/>
    <mergeCell ref="D63:D65"/>
    <mergeCell ref="A19:A21"/>
    <mergeCell ref="A35:A37"/>
    <mergeCell ref="B35:B37"/>
    <mergeCell ref="C35:C37"/>
    <mergeCell ref="D35:D37"/>
    <mergeCell ref="A38:A40"/>
    <mergeCell ref="B38:B40"/>
    <mergeCell ref="C38:C40"/>
    <mergeCell ref="D38:D40"/>
    <mergeCell ref="A47:A49"/>
    <mergeCell ref="B47:B49"/>
    <mergeCell ref="C47:C49"/>
    <mergeCell ref="D47:D49"/>
    <mergeCell ref="A53:A55"/>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D9D48C-EFB6-440B-BE4F-FD4465FADBA0}">
  <sheetPr codeName="Sheet20"/>
  <dimension ref="A1:V25"/>
  <sheetViews>
    <sheetView zoomScale="70" zoomScaleNormal="70" workbookViewId="0">
      <selection sqref="A1:L1"/>
    </sheetView>
  </sheetViews>
  <sheetFormatPr defaultColWidth="8.7109375" defaultRowHeight="12.75" x14ac:dyDescent="0.2"/>
  <cols>
    <col min="1" max="1" width="11.7109375" style="4" customWidth="1"/>
    <col min="2" max="2" width="8.7109375" style="4"/>
    <col min="3" max="3" width="17.28515625" style="4" bestFit="1" customWidth="1"/>
    <col min="4" max="4" width="12.7109375" style="4" bestFit="1" customWidth="1"/>
    <col min="5" max="5" width="12.85546875" style="4" bestFit="1" customWidth="1"/>
    <col min="6" max="6" width="22.28515625" style="4" bestFit="1" customWidth="1"/>
    <col min="7" max="7" width="16.85546875" style="4" bestFit="1" customWidth="1"/>
    <col min="8" max="8" width="17.85546875" style="4" bestFit="1" customWidth="1"/>
    <col min="9" max="9" width="11.5703125" style="4" customWidth="1"/>
    <col min="10" max="10" width="16.42578125" style="4" customWidth="1"/>
    <col min="11" max="11" width="20.140625" style="4" bestFit="1" customWidth="1"/>
    <col min="12" max="12" width="12" style="4" customWidth="1"/>
    <col min="13" max="13" width="8.7109375" style="4"/>
    <col min="14" max="14" width="14.42578125" style="4" customWidth="1"/>
    <col min="15" max="15" width="15.42578125" style="4" customWidth="1"/>
    <col min="16" max="16" width="23.7109375" style="4" customWidth="1"/>
    <col min="17" max="17" width="19.5703125" style="4" customWidth="1"/>
    <col min="18" max="18" width="15" style="4" customWidth="1"/>
    <col min="19" max="21" width="13.7109375" style="4" customWidth="1"/>
    <col min="22" max="22" width="21" style="4" bestFit="1" customWidth="1"/>
    <col min="23" max="24" width="8.7109375" style="4"/>
    <col min="25" max="25" width="13.7109375" style="4" customWidth="1"/>
    <col min="26" max="28" width="8.7109375" style="4"/>
    <col min="29" max="29" width="12.42578125" style="4" customWidth="1"/>
    <col min="30" max="16384" width="8.7109375" style="4"/>
  </cols>
  <sheetData>
    <row r="1" spans="1:22" ht="27" customHeight="1" x14ac:dyDescent="0.2">
      <c r="A1" s="789" t="s">
        <v>546</v>
      </c>
      <c r="B1" s="789"/>
      <c r="C1" s="789"/>
      <c r="D1" s="789"/>
      <c r="E1" s="789"/>
      <c r="F1" s="789"/>
      <c r="G1" s="789"/>
      <c r="H1" s="789"/>
      <c r="I1" s="789"/>
      <c r="J1" s="789"/>
      <c r="K1" s="789"/>
      <c r="L1" s="789"/>
      <c r="N1" s="788" t="str">
        <f>"Energy Consumption - "&amp;Prototype!A2</f>
        <v>Energy Consumption - Warehouse</v>
      </c>
      <c r="O1" s="788"/>
      <c r="P1" s="788"/>
      <c r="Q1" s="788"/>
      <c r="R1" s="788"/>
      <c r="S1" s="788"/>
      <c r="T1" s="788"/>
      <c r="U1" s="788"/>
      <c r="V1" s="788"/>
    </row>
    <row r="2" spans="1:22" ht="39.6" customHeight="1" x14ac:dyDescent="0.2">
      <c r="A2" s="511" t="s">
        <v>6</v>
      </c>
      <c r="B2" s="511" t="s">
        <v>547</v>
      </c>
      <c r="C2" s="511" t="s">
        <v>548</v>
      </c>
      <c r="D2" s="511" t="s">
        <v>549</v>
      </c>
      <c r="E2" s="511" t="s">
        <v>550</v>
      </c>
      <c r="F2" s="511" t="s">
        <v>551</v>
      </c>
      <c r="G2" s="511" t="s">
        <v>552</v>
      </c>
      <c r="H2" s="511" t="s">
        <v>553</v>
      </c>
      <c r="I2" s="470" t="s">
        <v>554</v>
      </c>
      <c r="J2" s="470" t="s">
        <v>555</v>
      </c>
      <c r="K2" s="470" t="s">
        <v>556</v>
      </c>
      <c r="L2" s="470" t="s">
        <v>557</v>
      </c>
      <c r="M2" s="476"/>
      <c r="N2" s="477" t="s">
        <v>6</v>
      </c>
      <c r="O2" s="511" t="s">
        <v>547</v>
      </c>
      <c r="P2" s="511" t="s">
        <v>558</v>
      </c>
      <c r="Q2" s="511" t="s">
        <v>559</v>
      </c>
      <c r="R2" s="511" t="s">
        <v>560</v>
      </c>
      <c r="S2" s="472" t="s">
        <v>561</v>
      </c>
      <c r="T2" s="472" t="s">
        <v>555</v>
      </c>
      <c r="U2" s="472" t="s">
        <v>556</v>
      </c>
      <c r="V2" s="472" t="s">
        <v>562</v>
      </c>
    </row>
    <row r="3" spans="1:22" ht="19.149999999999999" customHeight="1" x14ac:dyDescent="0.25">
      <c r="A3" s="787" t="s">
        <v>41</v>
      </c>
      <c r="B3" s="512">
        <v>1</v>
      </c>
      <c r="C3" s="471">
        <v>17.153824181759546</v>
      </c>
      <c r="D3" s="471">
        <v>27.221046025376125</v>
      </c>
      <c r="E3" s="471">
        <v>44.374870207135672</v>
      </c>
      <c r="F3" s="512">
        <v>18.100000000000001</v>
      </c>
      <c r="G3" s="512">
        <v>0.66</v>
      </c>
      <c r="H3" s="512">
        <v>18.760000000000002</v>
      </c>
      <c r="I3" s="512">
        <v>35.5</v>
      </c>
      <c r="J3" s="512">
        <f>(I3*1.25)</f>
        <v>44.375</v>
      </c>
      <c r="K3" s="512">
        <f>(I3*0.75)</f>
        <v>26.625</v>
      </c>
      <c r="L3" s="512">
        <f>J3-K3</f>
        <v>17.75</v>
      </c>
      <c r="M3" s="475"/>
      <c r="N3" s="534" t="str">
        <f>Prototype!B4</f>
        <v>Warehouse</v>
      </c>
      <c r="O3" s="478">
        <v>1</v>
      </c>
      <c r="P3" s="479">
        <v>10688</v>
      </c>
      <c r="Q3" s="480">
        <v>28.644674262609986</v>
      </c>
      <c r="R3" s="480">
        <v>3.4243343982599925</v>
      </c>
      <c r="S3" s="474">
        <f>Q3+R3</f>
        <v>32.069008660869976</v>
      </c>
      <c r="T3" s="473">
        <f>S3*1.25</f>
        <v>40.086260826087468</v>
      </c>
      <c r="U3" s="473">
        <f>S3*0.75</f>
        <v>24.051756495652484</v>
      </c>
      <c r="V3" s="474">
        <f>T3-U3</f>
        <v>16.034504330434984</v>
      </c>
    </row>
    <row r="4" spans="1:22" ht="19.149999999999999" customHeight="1" x14ac:dyDescent="0.25">
      <c r="A4" s="787"/>
      <c r="B4" s="512">
        <v>2</v>
      </c>
      <c r="C4" s="471">
        <v>17.444466954802277</v>
      </c>
      <c r="D4" s="471">
        <v>18.034025847810014</v>
      </c>
      <c r="E4" s="471">
        <v>35.478492802612294</v>
      </c>
      <c r="F4" s="512">
        <v>17.34</v>
      </c>
      <c r="G4" s="512">
        <v>0.38</v>
      </c>
      <c r="H4" s="512">
        <v>17.72</v>
      </c>
      <c r="I4" s="512">
        <v>29.9</v>
      </c>
      <c r="J4" s="512">
        <f t="shared" ref="J4:J18" si="0">(I4*1.25)</f>
        <v>37.375</v>
      </c>
      <c r="K4" s="512">
        <f t="shared" ref="K4:K18" si="1">(I4*0.75)</f>
        <v>22.424999999999997</v>
      </c>
      <c r="L4" s="512">
        <f t="shared" ref="L4:L18" si="2">J4-K4</f>
        <v>14.950000000000003</v>
      </c>
      <c r="M4" s="475"/>
      <c r="N4" s="534"/>
      <c r="O4" s="478">
        <v>2</v>
      </c>
      <c r="P4" s="479">
        <v>15367</v>
      </c>
      <c r="Q4" s="480">
        <v>15.01994330226028</v>
      </c>
      <c r="R4" s="480">
        <v>4.5354039529097587</v>
      </c>
      <c r="S4" s="474">
        <f t="shared" ref="S4:S18" si="3">Q4+R4</f>
        <v>19.555347255170041</v>
      </c>
      <c r="T4" s="473">
        <f t="shared" ref="T4:T18" si="4">S4*1.25</f>
        <v>24.444184068962549</v>
      </c>
      <c r="U4" s="473">
        <f t="shared" ref="U4:U18" si="5">S4*0.75</f>
        <v>14.666510441377531</v>
      </c>
      <c r="V4" s="474">
        <f t="shared" ref="V4:V18" si="6">T4-U4</f>
        <v>9.7776736275850187</v>
      </c>
    </row>
    <row r="5" spans="1:22" ht="19.149999999999999" customHeight="1" x14ac:dyDescent="0.25">
      <c r="A5" s="787"/>
      <c r="B5" s="512">
        <v>3</v>
      </c>
      <c r="C5" s="471">
        <v>16.108622786643622</v>
      </c>
      <c r="D5" s="471">
        <v>14.889353243298176</v>
      </c>
      <c r="E5" s="471">
        <v>30.997976029941796</v>
      </c>
      <c r="F5" s="512">
        <v>15.72</v>
      </c>
      <c r="G5" s="512">
        <v>0.03</v>
      </c>
      <c r="H5" s="512">
        <v>15.75</v>
      </c>
      <c r="I5" s="512">
        <v>28.1</v>
      </c>
      <c r="J5" s="512">
        <f t="shared" si="0"/>
        <v>35.125</v>
      </c>
      <c r="K5" s="512">
        <f t="shared" si="1"/>
        <v>21.075000000000003</v>
      </c>
      <c r="L5" s="512">
        <f t="shared" si="2"/>
        <v>14.049999999999997</v>
      </c>
      <c r="M5" s="475"/>
      <c r="N5" s="534"/>
      <c r="O5" s="478">
        <v>3</v>
      </c>
      <c r="P5" s="479">
        <v>68713</v>
      </c>
      <c r="Q5" s="480">
        <v>25.306365942758532</v>
      </c>
      <c r="R5" s="480">
        <v>7.578304908915813</v>
      </c>
      <c r="S5" s="474">
        <f t="shared" si="3"/>
        <v>32.884670851674343</v>
      </c>
      <c r="T5" s="473">
        <f t="shared" si="4"/>
        <v>41.105838564592929</v>
      </c>
      <c r="U5" s="473">
        <f t="shared" si="5"/>
        <v>24.663503138755758</v>
      </c>
      <c r="V5" s="474">
        <f t="shared" si="6"/>
        <v>16.442335425837172</v>
      </c>
    </row>
    <row r="6" spans="1:22" ht="19.149999999999999" customHeight="1" x14ac:dyDescent="0.25">
      <c r="A6" s="787"/>
      <c r="B6" s="512">
        <v>4</v>
      </c>
      <c r="C6" s="471">
        <v>19.553956968876651</v>
      </c>
      <c r="D6" s="471">
        <v>16.682819962276856</v>
      </c>
      <c r="E6" s="471">
        <v>36.236776931153507</v>
      </c>
      <c r="F6" s="512">
        <v>18.399999999999999</v>
      </c>
      <c r="G6" s="512">
        <v>0.28000000000000003</v>
      </c>
      <c r="H6" s="512">
        <v>18.68</v>
      </c>
      <c r="I6" s="512">
        <v>30.9</v>
      </c>
      <c r="J6" s="512">
        <f t="shared" si="0"/>
        <v>38.625</v>
      </c>
      <c r="K6" s="512">
        <f t="shared" si="1"/>
        <v>23.174999999999997</v>
      </c>
      <c r="L6" s="512">
        <f t="shared" si="2"/>
        <v>15.450000000000003</v>
      </c>
      <c r="M6" s="475"/>
      <c r="N6" s="534"/>
      <c r="O6" s="478">
        <v>4</v>
      </c>
      <c r="P6" s="479">
        <v>34199</v>
      </c>
      <c r="Q6" s="480">
        <v>25.882835448955834</v>
      </c>
      <c r="R6" s="480">
        <v>6.7470156537081261</v>
      </c>
      <c r="S6" s="474">
        <f t="shared" si="3"/>
        <v>32.629851102663963</v>
      </c>
      <c r="T6" s="473">
        <f t="shared" si="4"/>
        <v>40.787313878329954</v>
      </c>
      <c r="U6" s="473">
        <f t="shared" si="5"/>
        <v>24.472388326997972</v>
      </c>
      <c r="V6" s="474">
        <f t="shared" si="6"/>
        <v>16.314925551331982</v>
      </c>
    </row>
    <row r="7" spans="1:22" ht="19.149999999999999" customHeight="1" x14ac:dyDescent="0.25">
      <c r="A7" s="787"/>
      <c r="B7" s="512">
        <v>5</v>
      </c>
      <c r="C7" s="471">
        <v>16.55167046095832</v>
      </c>
      <c r="D7" s="471">
        <v>13.561289125838556</v>
      </c>
      <c r="E7" s="471">
        <v>30.112959586796876</v>
      </c>
      <c r="F7" s="512">
        <v>15.91</v>
      </c>
      <c r="G7" s="512">
        <v>0</v>
      </c>
      <c r="H7" s="512">
        <v>15.91</v>
      </c>
      <c r="I7" s="512">
        <v>27.1</v>
      </c>
      <c r="J7" s="512">
        <f t="shared" si="0"/>
        <v>33.875</v>
      </c>
      <c r="K7" s="512">
        <f t="shared" si="1"/>
        <v>20.325000000000003</v>
      </c>
      <c r="L7" s="512">
        <f t="shared" si="2"/>
        <v>13.549999999999997</v>
      </c>
      <c r="M7" s="475"/>
      <c r="N7" s="534"/>
      <c r="O7" s="478">
        <v>5</v>
      </c>
      <c r="P7" s="479">
        <v>5266</v>
      </c>
      <c r="Q7" s="480">
        <v>22.411367024020208</v>
      </c>
      <c r="R7" s="480">
        <v>23.724530197917758</v>
      </c>
      <c r="S7" s="474">
        <f t="shared" si="3"/>
        <v>46.135897221937967</v>
      </c>
      <c r="T7" s="473">
        <f t="shared" si="4"/>
        <v>57.669871527422458</v>
      </c>
      <c r="U7" s="473">
        <f t="shared" si="5"/>
        <v>34.601922916453475</v>
      </c>
      <c r="V7" s="474">
        <f t="shared" si="6"/>
        <v>23.067948610968983</v>
      </c>
    </row>
    <row r="8" spans="1:22" ht="19.149999999999999" customHeight="1" x14ac:dyDescent="0.25">
      <c r="A8" s="787"/>
      <c r="B8" s="512">
        <v>6</v>
      </c>
      <c r="C8" s="471">
        <v>15.008089440035876</v>
      </c>
      <c r="D8" s="471">
        <v>6.2309006940356237</v>
      </c>
      <c r="E8" s="471">
        <v>21.2389901340715</v>
      </c>
      <c r="F8" s="512">
        <v>13.86</v>
      </c>
      <c r="G8" s="512">
        <v>0</v>
      </c>
      <c r="H8" s="512">
        <v>13.86</v>
      </c>
      <c r="I8" s="512">
        <v>25.1</v>
      </c>
      <c r="J8" s="512">
        <f t="shared" si="0"/>
        <v>31.375</v>
      </c>
      <c r="K8" s="512">
        <f t="shared" si="1"/>
        <v>18.825000000000003</v>
      </c>
      <c r="L8" s="512">
        <f t="shared" si="2"/>
        <v>12.549999999999997</v>
      </c>
      <c r="M8" s="475"/>
      <c r="N8" s="534"/>
      <c r="O8" s="478">
        <v>6</v>
      </c>
      <c r="P8" s="479">
        <v>81916</v>
      </c>
      <c r="Q8" s="480">
        <v>13.53321749210958</v>
      </c>
      <c r="R8" s="480">
        <v>4.4619871118284227</v>
      </c>
      <c r="S8" s="474">
        <f t="shared" si="3"/>
        <v>17.995204603938003</v>
      </c>
      <c r="T8" s="473">
        <f t="shared" si="4"/>
        <v>22.494005754922505</v>
      </c>
      <c r="U8" s="473">
        <f t="shared" si="5"/>
        <v>13.496403452953501</v>
      </c>
      <c r="V8" s="474">
        <f t="shared" si="6"/>
        <v>8.9976023019690032</v>
      </c>
    </row>
    <row r="9" spans="1:22" ht="19.149999999999999" customHeight="1" x14ac:dyDescent="0.25">
      <c r="A9" s="787"/>
      <c r="B9" s="512">
        <v>7</v>
      </c>
      <c r="C9" s="471">
        <v>14.770020258821232</v>
      </c>
      <c r="D9" s="471">
        <v>5.3259131818163308</v>
      </c>
      <c r="E9" s="471">
        <v>20.095933440637562</v>
      </c>
      <c r="F9" s="512">
        <v>13.47</v>
      </c>
      <c r="G9" s="512">
        <v>0</v>
      </c>
      <c r="H9" s="512">
        <v>13.47</v>
      </c>
      <c r="I9" s="512">
        <v>24.9</v>
      </c>
      <c r="J9" s="512">
        <f t="shared" si="0"/>
        <v>31.125</v>
      </c>
      <c r="K9" s="512">
        <f t="shared" si="1"/>
        <v>18.674999999999997</v>
      </c>
      <c r="L9" s="512">
        <f t="shared" si="2"/>
        <v>12.450000000000003</v>
      </c>
      <c r="M9" s="475"/>
      <c r="N9" s="534"/>
      <c r="O9" s="478">
        <v>7</v>
      </c>
      <c r="P9" s="479">
        <v>21820</v>
      </c>
      <c r="Q9" s="480">
        <v>21.653741680284554</v>
      </c>
      <c r="R9" s="480">
        <v>3.5469906874378601</v>
      </c>
      <c r="S9" s="474">
        <f t="shared" si="3"/>
        <v>25.200732367722413</v>
      </c>
      <c r="T9" s="473">
        <f t="shared" si="4"/>
        <v>31.500915459653015</v>
      </c>
      <c r="U9" s="473">
        <f t="shared" si="5"/>
        <v>18.900549275791811</v>
      </c>
      <c r="V9" s="474">
        <f t="shared" si="6"/>
        <v>12.600366183861205</v>
      </c>
    </row>
    <row r="10" spans="1:22" ht="19.149999999999999" customHeight="1" x14ac:dyDescent="0.25">
      <c r="A10" s="787"/>
      <c r="B10" s="512">
        <v>8</v>
      </c>
      <c r="C10" s="471">
        <v>17.891139274027118</v>
      </c>
      <c r="D10" s="471">
        <v>5.3994431683127981</v>
      </c>
      <c r="E10" s="471">
        <v>23.290582442339918</v>
      </c>
      <c r="F10" s="512">
        <v>15.57</v>
      </c>
      <c r="G10" s="512">
        <v>0</v>
      </c>
      <c r="H10" s="512">
        <v>15.57</v>
      </c>
      <c r="I10" s="512">
        <v>26.5</v>
      </c>
      <c r="J10" s="512">
        <f t="shared" si="0"/>
        <v>33.125</v>
      </c>
      <c r="K10" s="512">
        <f t="shared" si="1"/>
        <v>19.875</v>
      </c>
      <c r="L10" s="512">
        <f t="shared" si="2"/>
        <v>13.25</v>
      </c>
      <c r="M10" s="475"/>
      <c r="N10" s="534"/>
      <c r="O10" s="478">
        <v>8</v>
      </c>
      <c r="P10" s="479">
        <v>167070</v>
      </c>
      <c r="Q10" s="480">
        <v>12.608622884963223</v>
      </c>
      <c r="R10" s="480">
        <v>4.8063609572958841</v>
      </c>
      <c r="S10" s="474">
        <f t="shared" si="3"/>
        <v>17.414983842259108</v>
      </c>
      <c r="T10" s="473">
        <f t="shared" si="4"/>
        <v>21.768729802823884</v>
      </c>
      <c r="U10" s="473">
        <f t="shared" si="5"/>
        <v>13.061237881694332</v>
      </c>
      <c r="V10" s="474">
        <f t="shared" si="6"/>
        <v>8.7074919211295523</v>
      </c>
    </row>
    <row r="11" spans="1:22" ht="19.149999999999999" customHeight="1" x14ac:dyDescent="0.25">
      <c r="A11" s="787"/>
      <c r="B11" s="512">
        <v>9</v>
      </c>
      <c r="C11" s="471">
        <v>18.676607212699174</v>
      </c>
      <c r="D11" s="471">
        <v>6.754374215366318</v>
      </c>
      <c r="E11" s="471">
        <v>25.430981428065493</v>
      </c>
      <c r="F11" s="512">
        <v>16.22</v>
      </c>
      <c r="G11" s="512">
        <v>0</v>
      </c>
      <c r="H11" s="512">
        <v>16.22</v>
      </c>
      <c r="I11" s="512">
        <v>27.3</v>
      </c>
      <c r="J11" s="512">
        <f t="shared" si="0"/>
        <v>34.125</v>
      </c>
      <c r="K11" s="512">
        <f t="shared" si="1"/>
        <v>20.475000000000001</v>
      </c>
      <c r="L11" s="512">
        <f t="shared" si="2"/>
        <v>13.649999999999999</v>
      </c>
      <c r="M11" s="475"/>
      <c r="N11" s="534"/>
      <c r="O11" s="478">
        <v>9</v>
      </c>
      <c r="P11" s="479">
        <v>170729</v>
      </c>
      <c r="Q11" s="480">
        <v>13.623891003696606</v>
      </c>
      <c r="R11" s="480">
        <v>4.3725920927902138</v>
      </c>
      <c r="S11" s="474">
        <f t="shared" si="3"/>
        <v>17.99648309648682</v>
      </c>
      <c r="T11" s="473">
        <f t="shared" si="4"/>
        <v>22.495603870608527</v>
      </c>
      <c r="U11" s="473">
        <f t="shared" si="5"/>
        <v>13.497362322365115</v>
      </c>
      <c r="V11" s="474">
        <f t="shared" si="6"/>
        <v>8.9982415482434117</v>
      </c>
    </row>
    <row r="12" spans="1:22" ht="19.149999999999999" customHeight="1" x14ac:dyDescent="0.25">
      <c r="A12" s="787"/>
      <c r="B12" s="512">
        <v>10</v>
      </c>
      <c r="C12" s="471">
        <v>19.207200157070822</v>
      </c>
      <c r="D12" s="471">
        <v>6.9171336181359795</v>
      </c>
      <c r="E12" s="471">
        <v>26.1243337752068</v>
      </c>
      <c r="F12" s="512">
        <v>17.059999999999999</v>
      </c>
      <c r="G12" s="512">
        <v>0</v>
      </c>
      <c r="H12" s="512">
        <v>17.059999999999999</v>
      </c>
      <c r="I12" s="512">
        <v>28.4</v>
      </c>
      <c r="J12" s="512">
        <f t="shared" si="0"/>
        <v>35.5</v>
      </c>
      <c r="K12" s="512">
        <f t="shared" si="1"/>
        <v>21.299999999999997</v>
      </c>
      <c r="L12" s="512">
        <f t="shared" si="2"/>
        <v>14.200000000000003</v>
      </c>
      <c r="M12" s="475"/>
      <c r="N12" s="534"/>
      <c r="O12" s="478">
        <v>10</v>
      </c>
      <c r="P12" s="479">
        <v>302672</v>
      </c>
      <c r="Q12" s="480">
        <v>15.057430890322948</v>
      </c>
      <c r="R12" s="480">
        <v>2.0696536588487522</v>
      </c>
      <c r="S12" s="474">
        <f t="shared" si="3"/>
        <v>17.127084549171698</v>
      </c>
      <c r="T12" s="473">
        <f t="shared" si="4"/>
        <v>21.408855686464623</v>
      </c>
      <c r="U12" s="473">
        <f t="shared" si="5"/>
        <v>12.845313411878774</v>
      </c>
      <c r="V12" s="474">
        <f t="shared" si="6"/>
        <v>8.5635422745858492</v>
      </c>
    </row>
    <row r="13" spans="1:22" ht="19.149999999999999" customHeight="1" x14ac:dyDescent="0.25">
      <c r="A13" s="787"/>
      <c r="B13" s="512">
        <v>11</v>
      </c>
      <c r="C13" s="471">
        <v>21.964072353217794</v>
      </c>
      <c r="D13" s="471">
        <v>17.570766241363827</v>
      </c>
      <c r="E13" s="471">
        <v>39.534838594581622</v>
      </c>
      <c r="F13" s="512">
        <v>20.8</v>
      </c>
      <c r="G13" s="512">
        <v>0.83</v>
      </c>
      <c r="H13" s="512">
        <v>21.63</v>
      </c>
      <c r="I13" s="512">
        <v>32.799999999999997</v>
      </c>
      <c r="J13" s="512">
        <f t="shared" si="0"/>
        <v>41</v>
      </c>
      <c r="K13" s="512">
        <f t="shared" si="1"/>
        <v>24.599999999999998</v>
      </c>
      <c r="L13" s="512">
        <f t="shared" si="2"/>
        <v>16.400000000000002</v>
      </c>
      <c r="M13" s="475"/>
      <c r="N13" s="534"/>
      <c r="O13" s="478">
        <v>11</v>
      </c>
      <c r="P13" s="479">
        <v>52236</v>
      </c>
      <c r="Q13" s="480">
        <v>29.108751316694597</v>
      </c>
      <c r="R13" s="480">
        <v>5.0509930294067455</v>
      </c>
      <c r="S13" s="474">
        <f t="shared" si="3"/>
        <v>34.159744346101341</v>
      </c>
      <c r="T13" s="473">
        <f t="shared" si="4"/>
        <v>42.699680432626678</v>
      </c>
      <c r="U13" s="473">
        <f t="shared" si="5"/>
        <v>25.619808259576004</v>
      </c>
      <c r="V13" s="474">
        <f t="shared" si="6"/>
        <v>17.079872173050674</v>
      </c>
    </row>
    <row r="14" spans="1:22" ht="19.149999999999999" customHeight="1" x14ac:dyDescent="0.25">
      <c r="A14" s="787"/>
      <c r="B14" s="512">
        <v>12</v>
      </c>
      <c r="C14" s="471">
        <v>18.765067049425134</v>
      </c>
      <c r="D14" s="471">
        <v>16.706504021226664</v>
      </c>
      <c r="E14" s="471">
        <v>35.471571070651798</v>
      </c>
      <c r="F14" s="512">
        <v>18.47</v>
      </c>
      <c r="G14" s="512">
        <v>0.56000000000000005</v>
      </c>
      <c r="H14" s="512">
        <v>19.029999999999998</v>
      </c>
      <c r="I14" s="512">
        <v>31</v>
      </c>
      <c r="J14" s="512">
        <f t="shared" si="0"/>
        <v>38.75</v>
      </c>
      <c r="K14" s="512">
        <f t="shared" si="1"/>
        <v>23.25</v>
      </c>
      <c r="L14" s="512">
        <f t="shared" si="2"/>
        <v>15.5</v>
      </c>
      <c r="M14" s="475"/>
      <c r="N14" s="534"/>
      <c r="O14" s="478">
        <v>12</v>
      </c>
      <c r="P14" s="479">
        <v>201422</v>
      </c>
      <c r="Q14" s="480">
        <v>26.640003799187763</v>
      </c>
      <c r="R14" s="480">
        <v>3.6094636011778234</v>
      </c>
      <c r="S14" s="474">
        <f t="shared" si="3"/>
        <v>30.249467400365585</v>
      </c>
      <c r="T14" s="473">
        <f t="shared" si="4"/>
        <v>37.811834250456982</v>
      </c>
      <c r="U14" s="473">
        <f t="shared" si="5"/>
        <v>22.687100550274188</v>
      </c>
      <c r="V14" s="474">
        <f t="shared" si="6"/>
        <v>15.124733700182794</v>
      </c>
    </row>
    <row r="15" spans="1:22" ht="19.149999999999999" customHeight="1" x14ac:dyDescent="0.25">
      <c r="A15" s="787"/>
      <c r="B15" s="512">
        <v>13</v>
      </c>
      <c r="C15" s="471">
        <v>20.80834924714064</v>
      </c>
      <c r="D15" s="471">
        <v>13.232439354840789</v>
      </c>
      <c r="E15" s="471">
        <v>34.040788601981433</v>
      </c>
      <c r="F15" s="512">
        <v>19.690000000000001</v>
      </c>
      <c r="G15" s="512">
        <v>0.38</v>
      </c>
      <c r="H15" s="512">
        <v>20.07</v>
      </c>
      <c r="I15" s="512">
        <v>32.5</v>
      </c>
      <c r="J15" s="512">
        <f t="shared" si="0"/>
        <v>40.625</v>
      </c>
      <c r="K15" s="512">
        <f t="shared" si="1"/>
        <v>24.375</v>
      </c>
      <c r="L15" s="512">
        <f t="shared" si="2"/>
        <v>16.25</v>
      </c>
      <c r="M15" s="475"/>
      <c r="N15" s="534"/>
      <c r="O15" s="478">
        <v>13</v>
      </c>
      <c r="P15" s="479">
        <v>58241</v>
      </c>
      <c r="Q15" s="480">
        <v>29.120614498806344</v>
      </c>
      <c r="R15" s="480">
        <v>2.8962163433102868</v>
      </c>
      <c r="S15" s="474">
        <f t="shared" si="3"/>
        <v>32.016830842116633</v>
      </c>
      <c r="T15" s="473">
        <f t="shared" si="4"/>
        <v>40.021038552645791</v>
      </c>
      <c r="U15" s="473">
        <f t="shared" si="5"/>
        <v>24.012623131587475</v>
      </c>
      <c r="V15" s="474">
        <f t="shared" si="6"/>
        <v>16.008415421058316</v>
      </c>
    </row>
    <row r="16" spans="1:22" ht="19.149999999999999" customHeight="1" x14ac:dyDescent="0.25">
      <c r="A16" s="787"/>
      <c r="B16" s="512">
        <v>14</v>
      </c>
      <c r="C16" s="471">
        <v>22.299061498173273</v>
      </c>
      <c r="D16" s="471">
        <v>17.936010760551671</v>
      </c>
      <c r="E16" s="471">
        <v>40.235072258724941</v>
      </c>
      <c r="F16" s="512">
        <v>21.24</v>
      </c>
      <c r="G16" s="512">
        <v>0.79</v>
      </c>
      <c r="H16" s="512">
        <v>22.029999999999998</v>
      </c>
      <c r="I16" s="512">
        <v>33.700000000000003</v>
      </c>
      <c r="J16" s="512">
        <f t="shared" si="0"/>
        <v>42.125</v>
      </c>
      <c r="K16" s="512">
        <f t="shared" si="1"/>
        <v>25.275000000000002</v>
      </c>
      <c r="L16" s="512">
        <f t="shared" si="2"/>
        <v>16.849999999999998</v>
      </c>
      <c r="M16" s="475"/>
      <c r="N16" s="534"/>
      <c r="O16" s="478">
        <v>14</v>
      </c>
      <c r="P16" s="479">
        <v>70031</v>
      </c>
      <c r="Q16" s="480">
        <v>17.862894357988989</v>
      </c>
      <c r="R16" s="480">
        <v>2.7744027941273703</v>
      </c>
      <c r="S16" s="474">
        <f t="shared" si="3"/>
        <v>20.637297152116361</v>
      </c>
      <c r="T16" s="473">
        <f t="shared" si="4"/>
        <v>25.796621440145451</v>
      </c>
      <c r="U16" s="473">
        <f t="shared" si="5"/>
        <v>15.47797286408727</v>
      </c>
      <c r="V16" s="474">
        <f t="shared" si="6"/>
        <v>10.31864857605818</v>
      </c>
    </row>
    <row r="17" spans="1:22" ht="19.149999999999999" customHeight="1" x14ac:dyDescent="0.25">
      <c r="A17" s="787"/>
      <c r="B17" s="512">
        <v>15</v>
      </c>
      <c r="C17" s="471">
        <v>26.474322143488873</v>
      </c>
      <c r="D17" s="471">
        <v>3.3259751419948778</v>
      </c>
      <c r="E17" s="471">
        <v>29.800297285483751</v>
      </c>
      <c r="F17" s="512">
        <v>23.07</v>
      </c>
      <c r="G17" s="512">
        <v>0.02</v>
      </c>
      <c r="H17" s="512">
        <v>23.09</v>
      </c>
      <c r="I17" s="512">
        <v>33.700000000000003</v>
      </c>
      <c r="J17" s="512">
        <f t="shared" si="0"/>
        <v>42.125</v>
      </c>
      <c r="K17" s="512">
        <f t="shared" si="1"/>
        <v>25.275000000000002</v>
      </c>
      <c r="L17" s="512">
        <f t="shared" si="2"/>
        <v>16.849999999999998</v>
      </c>
      <c r="M17" s="475"/>
      <c r="N17" s="534"/>
      <c r="O17" s="478">
        <v>15</v>
      </c>
      <c r="P17" s="479">
        <v>189094</v>
      </c>
      <c r="Q17" s="480">
        <v>10.045175332689027</v>
      </c>
      <c r="R17" s="480">
        <v>1.960515112615153</v>
      </c>
      <c r="S17" s="474">
        <f t="shared" si="3"/>
        <v>12.005690445304181</v>
      </c>
      <c r="T17" s="473">
        <f t="shared" si="4"/>
        <v>15.007113056630226</v>
      </c>
      <c r="U17" s="473">
        <f t="shared" si="5"/>
        <v>9.004267833978135</v>
      </c>
      <c r="V17" s="474">
        <f t="shared" si="6"/>
        <v>6.0028452226520912</v>
      </c>
    </row>
    <row r="18" spans="1:22" ht="19.149999999999999" customHeight="1" x14ac:dyDescent="0.25">
      <c r="A18" s="787"/>
      <c r="B18" s="512">
        <v>16</v>
      </c>
      <c r="C18" s="471">
        <v>19.269870121972183</v>
      </c>
      <c r="D18" s="471">
        <v>33.887225525098707</v>
      </c>
      <c r="E18" s="471">
        <v>53.157095647070889</v>
      </c>
      <c r="F18" s="512">
        <v>20.72</v>
      </c>
      <c r="G18" s="512">
        <v>3.94</v>
      </c>
      <c r="H18" s="512">
        <v>24.66</v>
      </c>
      <c r="I18" s="512">
        <v>37.6</v>
      </c>
      <c r="J18" s="512">
        <f t="shared" si="0"/>
        <v>47</v>
      </c>
      <c r="K18" s="512">
        <f t="shared" si="1"/>
        <v>28.200000000000003</v>
      </c>
      <c r="L18" s="512">
        <f t="shared" si="2"/>
        <v>18.799999999999997</v>
      </c>
      <c r="M18" s="475"/>
      <c r="N18" s="534"/>
      <c r="O18" s="478">
        <v>16</v>
      </c>
      <c r="P18" s="479">
        <v>265379</v>
      </c>
      <c r="Q18" s="480">
        <v>21.471506495485396</v>
      </c>
      <c r="R18" s="480">
        <v>2.3092939108530803</v>
      </c>
      <c r="S18" s="474">
        <f t="shared" si="3"/>
        <v>23.780800406338479</v>
      </c>
      <c r="T18" s="473">
        <f t="shared" si="4"/>
        <v>29.726000507923096</v>
      </c>
      <c r="U18" s="473">
        <f t="shared" si="5"/>
        <v>17.835600304753861</v>
      </c>
      <c r="V18" s="474">
        <f t="shared" si="6"/>
        <v>11.890400203169236</v>
      </c>
    </row>
    <row r="19" spans="1:22" x14ac:dyDescent="0.2">
      <c r="P19" s="81"/>
    </row>
    <row r="20" spans="1:22" x14ac:dyDescent="0.2">
      <c r="N20" s="4" t="s">
        <v>563</v>
      </c>
    </row>
    <row r="21" spans="1:22" x14ac:dyDescent="0.2">
      <c r="N21" s="4" t="s">
        <v>564</v>
      </c>
    </row>
    <row r="25" spans="1:22" s="28" customFormat="1" hidden="1" x14ac:dyDescent="0.2">
      <c r="N25" s="28" t="s">
        <v>75</v>
      </c>
      <c r="R25" s="29"/>
      <c r="S25" s="30"/>
      <c r="T25" s="31"/>
    </row>
  </sheetData>
  <mergeCells count="4">
    <mergeCell ref="N3:N18"/>
    <mergeCell ref="A3:A18"/>
    <mergeCell ref="N1:V1"/>
    <mergeCell ref="A1:L1"/>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1C2528-244E-42F6-AB8E-307C68E3EB6B}">
  <sheetPr codeName="Sheet21"/>
  <dimension ref="A1:AB44"/>
  <sheetViews>
    <sheetView zoomScale="85" zoomScaleNormal="85" workbookViewId="0">
      <selection sqref="A1:G1"/>
    </sheetView>
  </sheetViews>
  <sheetFormatPr defaultColWidth="8.7109375" defaultRowHeight="12.75" x14ac:dyDescent="0.2"/>
  <cols>
    <col min="1" max="2" width="12" style="4" customWidth="1"/>
    <col min="3" max="6" width="13.7109375" style="4" customWidth="1"/>
    <col min="7" max="7" width="13.28515625" style="4" customWidth="1"/>
    <col min="8" max="8" width="7.140625" style="4" customWidth="1"/>
    <col min="9" max="9" width="8.7109375" style="4"/>
    <col min="10" max="10" width="12" style="4" customWidth="1"/>
    <col min="11" max="11" width="14.140625" style="4" customWidth="1"/>
    <col min="12" max="12" width="10.28515625" style="4" customWidth="1"/>
    <col min="13" max="27" width="5.7109375" style="4" customWidth="1"/>
    <col min="28" max="16384" width="8.7109375" style="4"/>
  </cols>
  <sheetData>
    <row r="1" spans="1:28" ht="28.9" customHeight="1" x14ac:dyDescent="0.2">
      <c r="A1" s="578" t="str">
        <f>"% of Floor Area per CZ and Vintage Bin - "&amp;Prototype!A2</f>
        <v>% of Floor Area per CZ and Vintage Bin - Warehouse</v>
      </c>
      <c r="B1" s="578"/>
      <c r="C1" s="578"/>
      <c r="D1" s="578"/>
      <c r="E1" s="578"/>
      <c r="F1" s="578"/>
      <c r="G1" s="578"/>
      <c r="J1" s="578" t="str">
        <f>"% of Floor Area per CZ and Vintage Bin - "&amp;Prototype!A2</f>
        <v>% of Floor Area per CZ and Vintage Bin - Warehouse</v>
      </c>
      <c r="K1" s="578"/>
      <c r="L1" s="578"/>
      <c r="M1" s="578"/>
      <c r="N1" s="578"/>
      <c r="O1" s="578"/>
      <c r="P1" s="578"/>
      <c r="Q1" s="578"/>
      <c r="R1" s="578"/>
      <c r="S1" s="578"/>
      <c r="T1" s="578"/>
      <c r="U1" s="578"/>
      <c r="V1" s="578"/>
      <c r="W1" s="578"/>
      <c r="X1" s="578"/>
      <c r="Y1" s="578"/>
      <c r="Z1" s="578"/>
      <c r="AA1" s="578"/>
    </row>
    <row r="2" spans="1:28" ht="21" customHeight="1" x14ac:dyDescent="0.2">
      <c r="A2" s="792" t="s">
        <v>6</v>
      </c>
      <c r="B2" s="792" t="s">
        <v>547</v>
      </c>
      <c r="C2" s="792" t="s">
        <v>565</v>
      </c>
      <c r="D2" s="792"/>
      <c r="E2" s="792"/>
      <c r="F2" s="792"/>
      <c r="G2" s="792"/>
      <c r="J2" s="792" t="s">
        <v>6</v>
      </c>
      <c r="K2" s="792" t="s">
        <v>565</v>
      </c>
      <c r="L2" s="792" t="s">
        <v>547</v>
      </c>
      <c r="M2" s="792"/>
      <c r="N2" s="792"/>
      <c r="O2" s="792"/>
      <c r="P2" s="792"/>
      <c r="Q2" s="792"/>
      <c r="R2" s="792"/>
      <c r="S2" s="792"/>
      <c r="T2" s="792"/>
      <c r="U2" s="792"/>
      <c r="V2" s="792"/>
      <c r="W2" s="792"/>
      <c r="X2" s="792"/>
      <c r="Y2" s="792"/>
      <c r="Z2" s="792"/>
      <c r="AA2" s="792"/>
    </row>
    <row r="3" spans="1:28" ht="21" customHeight="1" x14ac:dyDescent="0.2">
      <c r="A3" s="792"/>
      <c r="B3" s="792"/>
      <c r="C3" s="513" t="s">
        <v>566</v>
      </c>
      <c r="D3" s="513" t="s">
        <v>207</v>
      </c>
      <c r="E3" s="513" t="s">
        <v>209</v>
      </c>
      <c r="F3" s="513" t="s">
        <v>211</v>
      </c>
      <c r="G3" s="513" t="s">
        <v>567</v>
      </c>
      <c r="J3" s="792"/>
      <c r="K3" s="792"/>
      <c r="L3" s="513">
        <v>1</v>
      </c>
      <c r="M3" s="513">
        <v>2</v>
      </c>
      <c r="N3" s="513">
        <v>3</v>
      </c>
      <c r="O3" s="513">
        <v>4</v>
      </c>
      <c r="P3" s="513">
        <v>5</v>
      </c>
      <c r="Q3" s="513">
        <v>6</v>
      </c>
      <c r="R3" s="513">
        <v>7</v>
      </c>
      <c r="S3" s="513">
        <v>8</v>
      </c>
      <c r="T3" s="513">
        <v>9</v>
      </c>
      <c r="U3" s="513">
        <v>10</v>
      </c>
      <c r="V3" s="513">
        <v>11</v>
      </c>
      <c r="W3" s="513">
        <v>12</v>
      </c>
      <c r="X3" s="513">
        <v>13</v>
      </c>
      <c r="Y3" s="513">
        <v>14</v>
      </c>
      <c r="Z3" s="513">
        <v>15</v>
      </c>
      <c r="AA3" s="513">
        <v>16</v>
      </c>
    </row>
    <row r="4" spans="1:28" ht="16.899999999999999" customHeight="1" x14ac:dyDescent="0.2">
      <c r="A4" s="791" t="s">
        <v>41</v>
      </c>
      <c r="B4" s="347">
        <v>1</v>
      </c>
      <c r="C4" s="515">
        <v>0.15452736792207866</v>
      </c>
      <c r="D4" s="515">
        <v>0.24883063377032252</v>
      </c>
      <c r="E4" s="515">
        <v>0.25160634508280616</v>
      </c>
      <c r="F4" s="515">
        <v>0.21791021314497019</v>
      </c>
      <c r="G4" s="346">
        <v>0.12712544007982254</v>
      </c>
      <c r="H4" s="71">
        <f>SUM(C4:G4)</f>
        <v>1</v>
      </c>
      <c r="J4" s="790" t="s">
        <v>41</v>
      </c>
      <c r="K4" s="515" t="s">
        <v>566</v>
      </c>
      <c r="L4" s="515">
        <v>5.4551699173229305E-3</v>
      </c>
      <c r="M4" s="515">
        <v>1.377021445358742E-2</v>
      </c>
      <c r="N4" s="515">
        <v>6.6526086693563066E-2</v>
      </c>
      <c r="O4" s="515">
        <v>3.6619433444000538E-2</v>
      </c>
      <c r="P4" s="515">
        <v>2.0991183034070439E-3</v>
      </c>
      <c r="Q4" s="515">
        <v>0.11678260343868814</v>
      </c>
      <c r="R4" s="515">
        <v>1.9614596367657586E-2</v>
      </c>
      <c r="S4" s="515">
        <v>0.24796463969816576</v>
      </c>
      <c r="T4" s="515">
        <v>0.25565170348574984</v>
      </c>
      <c r="U4" s="515">
        <v>3.0882094030321019E-2</v>
      </c>
      <c r="V4" s="515">
        <v>1.7681461308127519E-2</v>
      </c>
      <c r="W4" s="515">
        <v>8.6365974521735653E-2</v>
      </c>
      <c r="X4" s="515">
        <v>1.9907940422527075E-2</v>
      </c>
      <c r="Y4" s="515">
        <v>3.0083031343724146E-2</v>
      </c>
      <c r="Z4" s="515">
        <v>6.4147196977157915E-3</v>
      </c>
      <c r="AA4" s="515">
        <v>4.4181212873706355E-2</v>
      </c>
      <c r="AB4" s="71">
        <f t="shared" ref="AB4:AB9" si="0">SUM(L4:AA4)</f>
        <v>1</v>
      </c>
    </row>
    <row r="5" spans="1:28" ht="16.899999999999999" customHeight="1" x14ac:dyDescent="0.2">
      <c r="A5" s="791"/>
      <c r="B5" s="347">
        <v>2</v>
      </c>
      <c r="C5" s="515">
        <v>0.26704034064733589</v>
      </c>
      <c r="D5" s="515">
        <v>0.17507456809497579</v>
      </c>
      <c r="E5" s="515">
        <v>0.16746121999577962</v>
      </c>
      <c r="F5" s="515">
        <v>0.34763661415890679</v>
      </c>
      <c r="G5" s="346">
        <v>4.2787257103002047E-2</v>
      </c>
      <c r="H5" s="71">
        <f t="shared" ref="H5:H20" si="1">SUM(C5:G5)</f>
        <v>1.0000000000000002</v>
      </c>
      <c r="J5" s="790"/>
      <c r="K5" s="515" t="s">
        <v>207</v>
      </c>
      <c r="L5" s="515">
        <v>5.8412707264131362E-3</v>
      </c>
      <c r="M5" s="515">
        <v>6.0032649114111275E-3</v>
      </c>
      <c r="N5" s="515">
        <v>5.0242124224061963E-2</v>
      </c>
      <c r="O5" s="515">
        <v>2.5692684762550173E-2</v>
      </c>
      <c r="P5" s="515">
        <v>1.8621491632685257E-3</v>
      </c>
      <c r="Q5" s="515">
        <v>5.50187819294412E-2</v>
      </c>
      <c r="R5" s="515">
        <v>1.8198730166985699E-2</v>
      </c>
      <c r="S5" s="515">
        <v>0.10716490404445768</v>
      </c>
      <c r="T5" s="515">
        <v>0.11781958442781984</v>
      </c>
      <c r="U5" s="515">
        <v>0.12683505024782257</v>
      </c>
      <c r="V5" s="515">
        <v>4.1947543721356784E-2</v>
      </c>
      <c r="W5" s="515">
        <v>0.15953097640631744</v>
      </c>
      <c r="X5" s="515">
        <v>5.0101927826414344E-2</v>
      </c>
      <c r="Y5" s="515">
        <v>3.714650914990552E-2</v>
      </c>
      <c r="Z5" s="515">
        <v>7.0489409516667961E-2</v>
      </c>
      <c r="AA5" s="515">
        <v>0.1261050887751059</v>
      </c>
      <c r="AB5" s="71">
        <f t="shared" si="0"/>
        <v>0.99999999999999978</v>
      </c>
    </row>
    <row r="6" spans="1:28" ht="16.899999999999999" customHeight="1" x14ac:dyDescent="0.2">
      <c r="A6" s="791"/>
      <c r="B6" s="347">
        <v>3</v>
      </c>
      <c r="C6" s="515">
        <v>0.31176546900323171</v>
      </c>
      <c r="D6" s="515">
        <v>0.35408164376539847</v>
      </c>
      <c r="E6" s="515">
        <v>0.21871029740671497</v>
      </c>
      <c r="F6" s="515">
        <v>3.8699325942558566E-2</v>
      </c>
      <c r="G6" s="346">
        <v>7.6743263882096374E-2</v>
      </c>
      <c r="H6" s="71">
        <f t="shared" si="1"/>
        <v>1</v>
      </c>
      <c r="J6" s="790"/>
      <c r="K6" s="515" t="s">
        <v>209</v>
      </c>
      <c r="L6" s="515">
        <v>5.3477735894597875E-3</v>
      </c>
      <c r="M6" s="515">
        <v>5.1990815450016813E-3</v>
      </c>
      <c r="N6" s="515">
        <v>2.8098409990127072E-2</v>
      </c>
      <c r="O6" s="515">
        <v>1.355677083503461E-2</v>
      </c>
      <c r="P6" s="515">
        <v>3.7838901458294204E-3</v>
      </c>
      <c r="Q6" s="515">
        <v>2.0124265350320563E-2</v>
      </c>
      <c r="R6" s="515">
        <v>1.0614505435685284E-2</v>
      </c>
      <c r="S6" s="515">
        <v>3.7908272791426889E-2</v>
      </c>
      <c r="T6" s="515">
        <v>4.1502847635918133E-2</v>
      </c>
      <c r="U6" s="515">
        <v>0.26266476127746646</v>
      </c>
      <c r="V6" s="515">
        <v>2.0750912656189269E-2</v>
      </c>
      <c r="W6" s="515">
        <v>8.187150931257689E-2</v>
      </c>
      <c r="X6" s="515">
        <v>2.8411940390087088E-2</v>
      </c>
      <c r="Y6" s="515">
        <v>5.4361043248805634E-2</v>
      </c>
      <c r="Z6" s="515">
        <v>0.14801872874702829</v>
      </c>
      <c r="AA6" s="515">
        <v>0.23778528704904295</v>
      </c>
      <c r="AB6" s="71">
        <f t="shared" si="0"/>
        <v>1</v>
      </c>
    </row>
    <row r="7" spans="1:28" ht="16.899999999999999" customHeight="1" x14ac:dyDescent="0.2">
      <c r="A7" s="791"/>
      <c r="B7" s="347">
        <v>4</v>
      </c>
      <c r="C7" s="515">
        <v>0.34444247108692549</v>
      </c>
      <c r="D7" s="515">
        <v>0.36342428916382558</v>
      </c>
      <c r="E7" s="515">
        <v>0.21179357559818648</v>
      </c>
      <c r="F7" s="515">
        <v>1.6971139486294626E-2</v>
      </c>
      <c r="G7" s="346">
        <v>6.3368524664767778E-2</v>
      </c>
      <c r="H7" s="71">
        <f t="shared" si="1"/>
        <v>1</v>
      </c>
      <c r="J7" s="790"/>
      <c r="K7" s="515" t="s">
        <v>211</v>
      </c>
      <c r="L7" s="515">
        <v>1.0167288422649195E-2</v>
      </c>
      <c r="M7" s="515">
        <v>2.3692671061505206E-2</v>
      </c>
      <c r="N7" s="515">
        <v>1.0914203565299813E-2</v>
      </c>
      <c r="O7" s="515">
        <v>2.3846827516928507E-3</v>
      </c>
      <c r="P7" s="515">
        <v>9.2687073822245419E-4</v>
      </c>
      <c r="Q7" s="515">
        <v>1.2854561672982904E-2</v>
      </c>
      <c r="R7" s="515">
        <v>3.0741502662591782E-3</v>
      </c>
      <c r="S7" s="515">
        <v>2.7539334784881065E-2</v>
      </c>
      <c r="T7" s="515">
        <v>2.3048196034480495E-2</v>
      </c>
      <c r="U7" s="515">
        <v>0.25607023155887931</v>
      </c>
      <c r="V7" s="515">
        <v>4.132164910636639E-2</v>
      </c>
      <c r="W7" s="515">
        <v>0.13950902197103141</v>
      </c>
      <c r="X7" s="515">
        <v>3.4085405189232802E-2</v>
      </c>
      <c r="Y7" s="515">
        <v>3.2888437770086806E-2</v>
      </c>
      <c r="Z7" s="515">
        <v>0.22070281911035716</v>
      </c>
      <c r="AA7" s="515">
        <v>0.16082047599607305</v>
      </c>
      <c r="AB7" s="71">
        <f t="shared" si="0"/>
        <v>1</v>
      </c>
    </row>
    <row r="8" spans="1:28" ht="16.899999999999999" customHeight="1" x14ac:dyDescent="0.2">
      <c r="A8" s="791"/>
      <c r="B8" s="347">
        <v>5</v>
      </c>
      <c r="C8" s="515">
        <v>0.14247329593609531</v>
      </c>
      <c r="D8" s="515">
        <v>0.19006861403058853</v>
      </c>
      <c r="E8" s="515">
        <v>0.42656628573588479</v>
      </c>
      <c r="F8" s="515">
        <v>4.759825641856022E-2</v>
      </c>
      <c r="G8" s="346">
        <v>0.19329354787887107</v>
      </c>
      <c r="H8" s="71">
        <f t="shared" si="1"/>
        <v>1</v>
      </c>
      <c r="J8" s="790"/>
      <c r="K8" s="515" t="s">
        <v>567</v>
      </c>
      <c r="L8" s="515">
        <v>5.636119255538862E-3</v>
      </c>
      <c r="M8" s="515">
        <v>2.7709143802862506E-3</v>
      </c>
      <c r="N8" s="515">
        <v>2.056596352166043E-2</v>
      </c>
      <c r="O8" s="515">
        <v>8.4608374199232894E-3</v>
      </c>
      <c r="P8" s="515">
        <v>3.5765609547785946E-3</v>
      </c>
      <c r="Q8" s="515">
        <v>3.6800867919796164E-2</v>
      </c>
      <c r="R8" s="515">
        <v>7.8801903863296718E-3</v>
      </c>
      <c r="S8" s="515">
        <v>7.8693424749304047E-2</v>
      </c>
      <c r="T8" s="515">
        <v>6.3819585207851248E-2</v>
      </c>
      <c r="U8" s="515">
        <v>0.2188825669226904</v>
      </c>
      <c r="V8" s="515">
        <v>3.2488919728708203E-2</v>
      </c>
      <c r="W8" s="515">
        <v>0.11805271711684283</v>
      </c>
      <c r="X8" s="515">
        <v>3.1291459308520973E-2</v>
      </c>
      <c r="Y8" s="515">
        <v>4.3634728917955556E-2</v>
      </c>
      <c r="Z8" s="515">
        <v>0.14802383907058597</v>
      </c>
      <c r="AA8" s="515">
        <v>0.17942130513922741</v>
      </c>
      <c r="AB8" s="71">
        <f t="shared" si="0"/>
        <v>0.99999999999999967</v>
      </c>
    </row>
    <row r="9" spans="1:28" ht="16.899999999999999" customHeight="1" x14ac:dyDescent="0.2">
      <c r="A9" s="791"/>
      <c r="B9" s="347">
        <v>6</v>
      </c>
      <c r="C9" s="515">
        <v>0.42938622128774306</v>
      </c>
      <c r="D9" s="515">
        <v>0.30421477891496146</v>
      </c>
      <c r="E9" s="515">
        <v>0.12289704444918746</v>
      </c>
      <c r="F9" s="515">
        <v>3.5760414217449722E-2</v>
      </c>
      <c r="G9" s="346">
        <v>0.10774154113065817</v>
      </c>
      <c r="H9" s="71">
        <f t="shared" si="1"/>
        <v>0.99999999999999978</v>
      </c>
      <c r="J9" s="790"/>
      <c r="K9" s="515" t="s">
        <v>437</v>
      </c>
      <c r="L9" s="515">
        <v>6.1742776670933317E-3</v>
      </c>
      <c r="M9" s="515">
        <v>9.0187658529078327E-3</v>
      </c>
      <c r="N9" s="515">
        <v>3.7320482286257901E-2</v>
      </c>
      <c r="O9" s="515">
        <v>1.8594230309149952E-2</v>
      </c>
      <c r="P9" s="515">
        <v>2.5768356813931463E-3</v>
      </c>
      <c r="Q9" s="515">
        <v>4.7567828922897022E-2</v>
      </c>
      <c r="R9" s="515">
        <v>1.2804765274712752E-2</v>
      </c>
      <c r="S9" s="515">
        <v>9.7169977685425873E-2</v>
      </c>
      <c r="T9" s="515">
        <v>9.9695274937320763E-2</v>
      </c>
      <c r="U9" s="515">
        <v>0.17943122144590756</v>
      </c>
      <c r="V9" s="515">
        <v>3.0145940809486519E-2</v>
      </c>
      <c r="W9" s="515">
        <v>0.11574919730761106</v>
      </c>
      <c r="X9" s="515">
        <v>3.3781216469561247E-2</v>
      </c>
      <c r="Y9" s="515">
        <v>4.125191992478705E-2</v>
      </c>
      <c r="Z9" s="515">
        <v>0.11248008870295916</v>
      </c>
      <c r="AA9" s="515">
        <v>0.15623797672252868</v>
      </c>
      <c r="AB9" s="71">
        <f t="shared" si="0"/>
        <v>0.99999999999999978</v>
      </c>
    </row>
    <row r="10" spans="1:28" ht="16.899999999999999" customHeight="1" x14ac:dyDescent="0.2">
      <c r="A10" s="791"/>
      <c r="B10" s="347">
        <v>7</v>
      </c>
      <c r="C10" s="515">
        <v>0.26791130205639735</v>
      </c>
      <c r="D10" s="515">
        <v>0.37381104654995534</v>
      </c>
      <c r="E10" s="515">
        <v>0.24080354463950213</v>
      </c>
      <c r="F10" s="515">
        <v>3.1769623553310242E-2</v>
      </c>
      <c r="G10" s="346">
        <v>8.5704483200834916E-2</v>
      </c>
      <c r="H10" s="71">
        <f t="shared" si="1"/>
        <v>1</v>
      </c>
      <c r="J10" s="6"/>
      <c r="K10" s="69"/>
      <c r="L10" s="34"/>
      <c r="M10" s="34"/>
      <c r="N10" s="34"/>
      <c r="O10" s="34"/>
      <c r="P10" s="70"/>
    </row>
    <row r="11" spans="1:28" ht="16.899999999999999" customHeight="1" x14ac:dyDescent="0.2">
      <c r="A11" s="791"/>
      <c r="B11" s="347">
        <v>8</v>
      </c>
      <c r="C11" s="515">
        <v>0.44631443382949743</v>
      </c>
      <c r="D11" s="515">
        <v>0.29007021951441675</v>
      </c>
      <c r="E11" s="515">
        <v>0.11332784426922141</v>
      </c>
      <c r="F11" s="515">
        <v>3.7504203019582315E-2</v>
      </c>
      <c r="G11" s="346">
        <v>0.112783299367282</v>
      </c>
      <c r="H11" s="71">
        <f t="shared" si="1"/>
        <v>1</v>
      </c>
      <c r="J11" s="6"/>
      <c r="K11" s="69"/>
      <c r="L11" s="34"/>
      <c r="M11" s="34"/>
      <c r="N11" s="34"/>
      <c r="O11" s="34"/>
      <c r="P11" s="70"/>
    </row>
    <row r="12" spans="1:28" ht="16.899999999999999" customHeight="1" x14ac:dyDescent="0.2">
      <c r="A12" s="791"/>
      <c r="B12" s="347">
        <v>9</v>
      </c>
      <c r="C12" s="515">
        <v>0.4484947842403591</v>
      </c>
      <c r="D12" s="515">
        <v>0.31083189659169286</v>
      </c>
      <c r="E12" s="515">
        <v>0.12093111414652018</v>
      </c>
      <c r="F12" s="515">
        <v>3.0592922186733259E-2</v>
      </c>
      <c r="G12" s="346">
        <v>8.9149282834694629E-2</v>
      </c>
      <c r="H12" s="71">
        <f t="shared" si="1"/>
        <v>1</v>
      </c>
      <c r="J12" s="6"/>
      <c r="K12" s="69"/>
      <c r="L12" s="34"/>
      <c r="M12" s="34"/>
      <c r="N12" s="34"/>
      <c r="O12" s="34"/>
      <c r="P12" s="70"/>
    </row>
    <row r="13" spans="1:28" ht="16.899999999999999" customHeight="1" x14ac:dyDescent="0.2">
      <c r="A13" s="791"/>
      <c r="B13" s="347">
        <v>10</v>
      </c>
      <c r="C13" s="515">
        <v>3.0101768311684519E-2</v>
      </c>
      <c r="D13" s="515">
        <v>0.18591907027797241</v>
      </c>
      <c r="E13" s="515">
        <v>0.42524433066013811</v>
      </c>
      <c r="F13" s="515">
        <v>0.18885116966066318</v>
      </c>
      <c r="G13" s="346">
        <v>0.16988366108954181</v>
      </c>
      <c r="H13" s="71">
        <f t="shared" si="1"/>
        <v>1</v>
      </c>
      <c r="J13" s="6"/>
      <c r="K13" s="69"/>
      <c r="L13" s="34"/>
      <c r="M13" s="34"/>
      <c r="N13" s="34"/>
      <c r="O13" s="34"/>
      <c r="P13" s="70"/>
    </row>
    <row r="14" spans="1:28" ht="16.899999999999999" customHeight="1" x14ac:dyDescent="0.2">
      <c r="A14" s="791"/>
      <c r="B14" s="347">
        <v>11</v>
      </c>
      <c r="C14" s="515">
        <v>0.10258233827177377</v>
      </c>
      <c r="D14" s="515">
        <v>0.36598253456271551</v>
      </c>
      <c r="E14" s="515">
        <v>0.19995998420340513</v>
      </c>
      <c r="F14" s="515">
        <v>0.18138751945286585</v>
      </c>
      <c r="G14" s="346">
        <v>0.15008762350923971</v>
      </c>
      <c r="H14" s="71">
        <f t="shared" si="1"/>
        <v>1</v>
      </c>
      <c r="J14" s="6"/>
      <c r="K14" s="69"/>
      <c r="L14" s="34"/>
      <c r="M14" s="34"/>
      <c r="N14" s="34"/>
      <c r="O14" s="34"/>
      <c r="P14" s="70"/>
    </row>
    <row r="15" spans="1:28" ht="16.899999999999999" customHeight="1" x14ac:dyDescent="0.2">
      <c r="A15" s="791"/>
      <c r="B15" s="347">
        <v>12</v>
      </c>
      <c r="C15" s="515">
        <v>0.13049923659236382</v>
      </c>
      <c r="D15" s="515">
        <v>0.36250141195038138</v>
      </c>
      <c r="E15" s="515">
        <v>0.20547053050670011</v>
      </c>
      <c r="F15" s="515">
        <v>0.15949346912877915</v>
      </c>
      <c r="G15" s="346">
        <v>0.14203535182177546</v>
      </c>
      <c r="H15" s="71">
        <f t="shared" si="1"/>
        <v>1</v>
      </c>
      <c r="J15" s="6"/>
      <c r="K15" s="69"/>
      <c r="L15" s="34"/>
      <c r="M15" s="34"/>
      <c r="N15" s="34"/>
      <c r="O15" s="34"/>
      <c r="P15" s="70"/>
    </row>
    <row r="16" spans="1:28" ht="16.899999999999999" customHeight="1" x14ac:dyDescent="0.2">
      <c r="A16" s="791"/>
      <c r="B16" s="347">
        <v>13</v>
      </c>
      <c r="C16" s="515">
        <v>0.1030704872454056</v>
      </c>
      <c r="D16" s="515">
        <v>0.39008730747921916</v>
      </c>
      <c r="E16" s="515">
        <v>0.24432074485378139</v>
      </c>
      <c r="F16" s="515">
        <v>0.13352167590829719</v>
      </c>
      <c r="G16" s="346">
        <v>0.12899978451329669</v>
      </c>
      <c r="H16" s="71">
        <f t="shared" si="1"/>
        <v>1</v>
      </c>
      <c r="J16" s="6"/>
      <c r="K16" s="69"/>
      <c r="L16" s="34"/>
      <c r="M16" s="34"/>
      <c r="N16" s="34"/>
      <c r="O16" s="34"/>
      <c r="P16" s="70"/>
    </row>
    <row r="17" spans="1:16" ht="16.899999999999999" customHeight="1" x14ac:dyDescent="0.2">
      <c r="A17" s="791"/>
      <c r="B17" s="347">
        <v>14</v>
      </c>
      <c r="C17" s="515">
        <v>0.12754419921101665</v>
      </c>
      <c r="D17" s="515">
        <v>0.23684079392358234</v>
      </c>
      <c r="E17" s="515">
        <v>0.38280565974040554</v>
      </c>
      <c r="F17" s="515">
        <v>0.10550126739193456</v>
      </c>
      <c r="G17" s="346">
        <v>0.14730807973306112</v>
      </c>
      <c r="H17" s="71">
        <f t="shared" si="1"/>
        <v>1.0000000000000002</v>
      </c>
      <c r="J17" s="6"/>
      <c r="K17" s="69"/>
      <c r="L17" s="34"/>
      <c r="M17" s="34"/>
      <c r="N17" s="34"/>
      <c r="O17" s="34"/>
      <c r="P17" s="70"/>
    </row>
    <row r="18" spans="1:16" ht="16.899999999999999" customHeight="1" x14ac:dyDescent="0.2">
      <c r="A18" s="791"/>
      <c r="B18" s="347">
        <v>15</v>
      </c>
      <c r="C18" s="515">
        <v>9.9743663394604287E-3</v>
      </c>
      <c r="D18" s="515">
        <v>0.16482796225902521</v>
      </c>
      <c r="E18" s="515">
        <v>0.38227487350898831</v>
      </c>
      <c r="F18" s="515">
        <v>0.25965149575333163</v>
      </c>
      <c r="G18" s="346">
        <v>0.18327130213919432</v>
      </c>
      <c r="H18" s="71">
        <f t="shared" si="1"/>
        <v>0.99999999999999978</v>
      </c>
      <c r="J18" s="6"/>
      <c r="K18" s="69"/>
      <c r="L18" s="34"/>
      <c r="M18" s="34"/>
      <c r="N18" s="34"/>
      <c r="O18" s="34"/>
      <c r="P18" s="70"/>
    </row>
    <row r="19" spans="1:16" ht="16.899999999999999" customHeight="1" x14ac:dyDescent="0.2">
      <c r="A19" s="791"/>
      <c r="B19" s="347">
        <v>16</v>
      </c>
      <c r="C19" s="346">
        <v>4.945774478026671E-2</v>
      </c>
      <c r="D19" s="346">
        <v>0.21228957772456383</v>
      </c>
      <c r="E19" s="346">
        <v>0.44211281801204599</v>
      </c>
      <c r="F19" s="346">
        <v>0.13621136193049449</v>
      </c>
      <c r="G19" s="346">
        <v>0.15992849755262895</v>
      </c>
      <c r="H19" s="71">
        <f t="shared" si="1"/>
        <v>1</v>
      </c>
      <c r="J19" s="6"/>
      <c r="K19" s="69"/>
      <c r="L19" s="34"/>
      <c r="M19" s="34"/>
      <c r="N19" s="34"/>
      <c r="O19" s="34"/>
      <c r="P19" s="70"/>
    </row>
    <row r="20" spans="1:16" x14ac:dyDescent="0.2">
      <c r="A20" s="791"/>
      <c r="B20" s="346" t="s">
        <v>375</v>
      </c>
      <c r="C20" s="346">
        <v>0.2272342701932176</v>
      </c>
      <c r="D20" s="346">
        <v>0.28604679599311561</v>
      </c>
      <c r="E20" s="346">
        <v>0.24648915392110105</v>
      </c>
      <c r="F20" s="346">
        <v>0.11122867970780639</v>
      </c>
      <c r="G20" s="346">
        <v>0.12900110018475813</v>
      </c>
      <c r="H20" s="71">
        <f t="shared" si="1"/>
        <v>0.99999999999999867</v>
      </c>
    </row>
    <row r="22" spans="1:16" x14ac:dyDescent="0.2">
      <c r="A22" s="4" t="s">
        <v>568</v>
      </c>
    </row>
    <row r="23" spans="1:16" x14ac:dyDescent="0.2">
      <c r="A23" s="4" t="s">
        <v>564</v>
      </c>
    </row>
    <row r="25" spans="1:16" ht="15.75" x14ac:dyDescent="0.2">
      <c r="A25" s="521"/>
      <c r="B25" s="521"/>
      <c r="C25" s="521"/>
      <c r="D25" s="521"/>
      <c r="E25" s="521"/>
      <c r="F25" s="521"/>
      <c r="G25" s="521"/>
    </row>
    <row r="26" spans="1:16" x14ac:dyDescent="0.2">
      <c r="A26" s="522"/>
      <c r="B26" s="522"/>
      <c r="C26" s="522"/>
      <c r="D26" s="522"/>
      <c r="E26" s="522"/>
      <c r="F26" s="522"/>
      <c r="G26" s="522"/>
    </row>
    <row r="27" spans="1:16" x14ac:dyDescent="0.2">
      <c r="A27" s="522"/>
      <c r="B27" s="522"/>
      <c r="C27" s="518"/>
      <c r="D27" s="518"/>
      <c r="E27" s="518"/>
      <c r="F27" s="518"/>
      <c r="G27" s="518"/>
    </row>
    <row r="28" spans="1:16" x14ac:dyDescent="0.2">
      <c r="A28" s="6"/>
      <c r="B28" s="69"/>
      <c r="C28" s="34"/>
      <c r="D28" s="34"/>
      <c r="E28" s="34"/>
      <c r="F28" s="34"/>
      <c r="G28" s="70"/>
      <c r="H28" s="38"/>
      <c r="I28" s="519"/>
    </row>
    <row r="29" spans="1:16" s="28" customFormat="1" ht="13.15" hidden="1" customHeight="1" x14ac:dyDescent="0.2">
      <c r="A29" s="6"/>
      <c r="B29" s="69"/>
      <c r="C29" s="34"/>
      <c r="D29" s="34"/>
      <c r="E29" s="34"/>
      <c r="F29" s="34"/>
      <c r="G29" s="70"/>
      <c r="H29" s="38"/>
      <c r="I29" s="520"/>
    </row>
    <row r="30" spans="1:16" x14ac:dyDescent="0.2">
      <c r="A30" s="6"/>
      <c r="B30" s="69"/>
      <c r="C30" s="34"/>
      <c r="D30" s="34"/>
      <c r="E30" s="34"/>
      <c r="F30" s="34"/>
      <c r="G30" s="70"/>
      <c r="H30" s="38"/>
      <c r="I30" s="519"/>
    </row>
    <row r="31" spans="1:16" x14ac:dyDescent="0.2">
      <c r="A31" s="6"/>
      <c r="B31" s="69"/>
      <c r="C31" s="34"/>
      <c r="D31" s="34"/>
      <c r="E31" s="34"/>
      <c r="F31" s="34"/>
      <c r="G31" s="70"/>
      <c r="H31" s="38"/>
      <c r="I31" s="519"/>
    </row>
    <row r="32" spans="1:16" x14ac:dyDescent="0.2">
      <c r="A32" s="6"/>
      <c r="B32" s="69"/>
      <c r="C32" s="34"/>
      <c r="D32" s="34"/>
      <c r="E32" s="34"/>
      <c r="F32" s="34"/>
      <c r="G32" s="70"/>
      <c r="H32" s="38"/>
      <c r="I32" s="519"/>
    </row>
    <row r="33" spans="1:9" x14ac:dyDescent="0.2">
      <c r="A33" s="6"/>
      <c r="B33" s="69"/>
      <c r="C33" s="34"/>
      <c r="D33" s="34"/>
      <c r="E33" s="34"/>
      <c r="F33" s="34"/>
      <c r="G33" s="70"/>
      <c r="H33" s="38"/>
      <c r="I33" s="519"/>
    </row>
    <row r="34" spans="1:9" x14ac:dyDescent="0.2">
      <c r="A34" s="6"/>
      <c r="B34" s="69"/>
      <c r="C34" s="34"/>
      <c r="D34" s="34"/>
      <c r="E34" s="34"/>
      <c r="F34" s="34"/>
      <c r="G34" s="70"/>
      <c r="H34" s="38"/>
      <c r="I34" s="519"/>
    </row>
    <row r="35" spans="1:9" x14ac:dyDescent="0.2">
      <c r="A35" s="6"/>
      <c r="B35" s="69"/>
      <c r="C35" s="34"/>
      <c r="D35" s="34"/>
      <c r="E35" s="34"/>
      <c r="F35" s="34"/>
      <c r="G35" s="70"/>
      <c r="H35" s="38"/>
      <c r="I35" s="519"/>
    </row>
    <row r="36" spans="1:9" x14ac:dyDescent="0.2">
      <c r="A36" s="6"/>
      <c r="B36" s="69"/>
      <c r="C36" s="34"/>
      <c r="D36" s="34"/>
      <c r="E36" s="34"/>
      <c r="F36" s="34"/>
      <c r="G36" s="70"/>
      <c r="H36" s="38"/>
      <c r="I36" s="519"/>
    </row>
    <row r="37" spans="1:9" x14ac:dyDescent="0.2">
      <c r="A37" s="6"/>
      <c r="B37" s="69"/>
      <c r="C37" s="34"/>
      <c r="D37" s="34"/>
      <c r="E37" s="34"/>
      <c r="F37" s="34"/>
      <c r="G37" s="70"/>
      <c r="H37" s="38"/>
      <c r="I37" s="519"/>
    </row>
    <row r="38" spans="1:9" x14ac:dyDescent="0.2">
      <c r="A38" s="6"/>
      <c r="B38" s="69"/>
      <c r="C38" s="34"/>
      <c r="D38" s="34"/>
      <c r="E38" s="34"/>
      <c r="F38" s="34"/>
      <c r="G38" s="70"/>
      <c r="H38" s="38"/>
      <c r="I38" s="519"/>
    </row>
    <row r="39" spans="1:9" x14ac:dyDescent="0.2">
      <c r="A39" s="6"/>
      <c r="B39" s="69"/>
      <c r="C39" s="34"/>
      <c r="D39" s="34"/>
      <c r="E39" s="34"/>
      <c r="F39" s="34"/>
      <c r="G39" s="70"/>
      <c r="H39" s="38"/>
      <c r="I39" s="519"/>
    </row>
    <row r="40" spans="1:9" x14ac:dyDescent="0.2">
      <c r="A40" s="6"/>
      <c r="B40" s="69"/>
      <c r="C40" s="34"/>
      <c r="D40" s="34"/>
      <c r="E40" s="34"/>
      <c r="F40" s="34"/>
      <c r="G40" s="70"/>
      <c r="H40" s="38"/>
      <c r="I40" s="519"/>
    </row>
    <row r="41" spans="1:9" x14ac:dyDescent="0.2">
      <c r="A41" s="6"/>
      <c r="B41" s="69"/>
      <c r="C41" s="34"/>
      <c r="D41" s="34"/>
      <c r="E41" s="34"/>
      <c r="F41" s="34"/>
      <c r="G41" s="70"/>
      <c r="H41" s="38"/>
      <c r="I41" s="519"/>
    </row>
    <row r="42" spans="1:9" x14ac:dyDescent="0.2">
      <c r="A42" s="6"/>
      <c r="B42" s="69"/>
      <c r="C42" s="34"/>
      <c r="D42" s="34"/>
      <c r="E42" s="34"/>
      <c r="F42" s="34"/>
      <c r="G42" s="70"/>
      <c r="H42" s="38"/>
      <c r="I42" s="519"/>
    </row>
    <row r="43" spans="1:9" x14ac:dyDescent="0.2">
      <c r="A43" s="6"/>
      <c r="B43" s="69"/>
      <c r="C43" s="34"/>
      <c r="D43" s="34"/>
      <c r="E43" s="34"/>
      <c r="F43" s="34"/>
      <c r="G43" s="70"/>
      <c r="H43" s="38"/>
      <c r="I43" s="519"/>
    </row>
    <row r="44" spans="1:9" x14ac:dyDescent="0.2">
      <c r="A44" s="6"/>
      <c r="B44" s="70"/>
      <c r="C44" s="34"/>
      <c r="D44" s="34"/>
      <c r="E44" s="34"/>
      <c r="F44" s="34"/>
      <c r="G44" s="70"/>
      <c r="H44" s="38"/>
      <c r="I44" s="519"/>
    </row>
  </sheetData>
  <mergeCells count="10">
    <mergeCell ref="J4:J9"/>
    <mergeCell ref="A4:A20"/>
    <mergeCell ref="J1:AA1"/>
    <mergeCell ref="C2:G2"/>
    <mergeCell ref="L2:AA2"/>
    <mergeCell ref="K2:K3"/>
    <mergeCell ref="J2:J3"/>
    <mergeCell ref="A1:G1"/>
    <mergeCell ref="B2:B3"/>
    <mergeCell ref="A2:A3"/>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C638C3-9269-4523-B14B-D8D22DE74C86}">
  <sheetPr codeName="Sheet14"/>
  <dimension ref="A1:J2"/>
  <sheetViews>
    <sheetView workbookViewId="0">
      <selection activeCell="L26" sqref="L26"/>
    </sheetView>
  </sheetViews>
  <sheetFormatPr defaultRowHeight="15" x14ac:dyDescent="0.25"/>
  <sheetData>
    <row r="1" spans="1:10" ht="15.6" customHeight="1" x14ac:dyDescent="0.25">
      <c r="A1" s="578" t="str">
        <f>"PV - "&amp;Prototype!A2</f>
        <v>PV - Warehouse</v>
      </c>
      <c r="B1" s="578"/>
      <c r="C1" s="578"/>
      <c r="D1" s="578"/>
      <c r="E1" s="578"/>
      <c r="F1" s="578"/>
      <c r="G1" s="578"/>
      <c r="H1" s="578"/>
      <c r="I1" s="578"/>
      <c r="J1" s="578"/>
    </row>
    <row r="2" spans="1:10" x14ac:dyDescent="0.25">
      <c r="A2" s="4" t="s">
        <v>569</v>
      </c>
      <c r="B2" s="2"/>
      <c r="C2" s="2"/>
      <c r="D2" s="2"/>
      <c r="E2" s="2"/>
      <c r="F2" s="2"/>
      <c r="G2" s="2"/>
      <c r="H2" s="2"/>
      <c r="I2" s="2"/>
      <c r="J2" s="2"/>
    </row>
  </sheetData>
  <mergeCells count="1">
    <mergeCell ref="A1:J1"/>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CBB9E4-8E7A-41B8-B067-A47E2307C7E6}">
  <sheetPr codeName="Sheet22"/>
  <dimension ref="A1:H3"/>
  <sheetViews>
    <sheetView zoomScaleNormal="70" workbookViewId="0">
      <selection sqref="A1:H1"/>
    </sheetView>
  </sheetViews>
  <sheetFormatPr defaultColWidth="8.7109375" defaultRowHeight="12.75" x14ac:dyDescent="0.2"/>
  <cols>
    <col min="1" max="1" width="21" style="4" customWidth="1"/>
    <col min="2" max="2" width="14.28515625" style="4" customWidth="1"/>
    <col min="3" max="3" width="14.5703125" style="4" customWidth="1"/>
    <col min="4" max="8" width="8.7109375" style="4"/>
    <col min="9" max="9" width="13.7109375" style="4" customWidth="1"/>
    <col min="10" max="10" width="14.42578125" style="4" customWidth="1"/>
    <col min="11" max="16384" width="8.7109375" style="4"/>
  </cols>
  <sheetData>
    <row r="1" spans="1:8" ht="15.75" x14ac:dyDescent="0.2">
      <c r="A1" s="578" t="str">
        <f>"EV Charger - "&amp;Prototype!A2</f>
        <v>EV Charger - Warehouse</v>
      </c>
      <c r="B1" s="578"/>
      <c r="C1" s="578"/>
      <c r="D1" s="578"/>
      <c r="E1" s="578"/>
      <c r="F1" s="578"/>
      <c r="G1" s="578"/>
      <c r="H1" s="578"/>
    </row>
    <row r="2" spans="1:8" x14ac:dyDescent="0.2">
      <c r="A2" s="4" t="s">
        <v>569</v>
      </c>
      <c r="B2" s="52"/>
      <c r="C2" s="53"/>
      <c r="D2" s="54"/>
      <c r="E2" s="54"/>
    </row>
    <row r="3" spans="1:8" x14ac:dyDescent="0.2">
      <c r="A3" s="45"/>
      <c r="B3" s="51"/>
      <c r="C3" s="374"/>
      <c r="D3" s="55"/>
      <c r="E3" s="55"/>
    </row>
  </sheetData>
  <mergeCells count="1">
    <mergeCell ref="A1:H1"/>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D22EA6-3CA7-4A2E-8547-3DBA3FCD617C}">
  <sheetPr codeName="Sheet16"/>
  <dimension ref="A1:G83"/>
  <sheetViews>
    <sheetView topLeftCell="A73" workbookViewId="0">
      <selection activeCell="A83" sqref="A81:A83"/>
    </sheetView>
  </sheetViews>
  <sheetFormatPr defaultRowHeight="15" x14ac:dyDescent="0.25"/>
  <cols>
    <col min="1" max="1" width="58.7109375" customWidth="1"/>
    <col min="2" max="2" width="30.85546875" customWidth="1"/>
    <col min="3" max="3" width="30.28515625" customWidth="1"/>
  </cols>
  <sheetData>
    <row r="1" spans="1:7" x14ac:dyDescent="0.25">
      <c r="A1" t="s">
        <v>570</v>
      </c>
      <c r="B1" t="s">
        <v>571</v>
      </c>
      <c r="C1" t="s">
        <v>571</v>
      </c>
      <c r="D1" s="793" t="s">
        <v>572</v>
      </c>
      <c r="E1" s="793"/>
      <c r="F1" s="793"/>
      <c r="G1" s="793"/>
    </row>
    <row r="2" spans="1:7" x14ac:dyDescent="0.25">
      <c r="A2" s="485" t="s">
        <v>573</v>
      </c>
      <c r="D2">
        <v>2013</v>
      </c>
      <c r="E2">
        <v>2016</v>
      </c>
      <c r="F2">
        <v>2019</v>
      </c>
      <c r="G2">
        <v>2025</v>
      </c>
    </row>
    <row r="3" spans="1:7" x14ac:dyDescent="0.25">
      <c r="A3" s="485" t="s">
        <v>574</v>
      </c>
    </row>
    <row r="4" spans="1:7" x14ac:dyDescent="0.25">
      <c r="A4" t="s">
        <v>575</v>
      </c>
    </row>
    <row r="5" spans="1:7" x14ac:dyDescent="0.25">
      <c r="A5" t="s">
        <v>576</v>
      </c>
    </row>
    <row r="6" spans="1:7" x14ac:dyDescent="0.25">
      <c r="A6" t="s">
        <v>577</v>
      </c>
    </row>
    <row r="7" spans="1:7" x14ac:dyDescent="0.25">
      <c r="A7" t="s">
        <v>578</v>
      </c>
    </row>
    <row r="8" spans="1:7" x14ac:dyDescent="0.25">
      <c r="A8" t="s">
        <v>579</v>
      </c>
    </row>
    <row r="9" spans="1:7" x14ac:dyDescent="0.25">
      <c r="A9" t="s">
        <v>580</v>
      </c>
    </row>
    <row r="10" spans="1:7" x14ac:dyDescent="0.25">
      <c r="A10" t="s">
        <v>581</v>
      </c>
    </row>
    <row r="11" spans="1:7" x14ac:dyDescent="0.25">
      <c r="A11" t="s">
        <v>582</v>
      </c>
    </row>
    <row r="12" spans="1:7" x14ac:dyDescent="0.25">
      <c r="A12" t="s">
        <v>583</v>
      </c>
    </row>
    <row r="13" spans="1:7" x14ac:dyDescent="0.25">
      <c r="A13" t="s">
        <v>584</v>
      </c>
    </row>
    <row r="14" spans="1:7" x14ac:dyDescent="0.25">
      <c r="A14" t="s">
        <v>585</v>
      </c>
    </row>
    <row r="15" spans="1:7" x14ac:dyDescent="0.25">
      <c r="A15" t="s">
        <v>586</v>
      </c>
    </row>
    <row r="16" spans="1:7" x14ac:dyDescent="0.25">
      <c r="A16" t="s">
        <v>587</v>
      </c>
    </row>
    <row r="17" spans="1:1" x14ac:dyDescent="0.25">
      <c r="A17" t="s">
        <v>588</v>
      </c>
    </row>
    <row r="18" spans="1:1" x14ac:dyDescent="0.25">
      <c r="A18" t="s">
        <v>589</v>
      </c>
    </row>
    <row r="19" spans="1:1" x14ac:dyDescent="0.25">
      <c r="A19" t="s">
        <v>590</v>
      </c>
    </row>
    <row r="20" spans="1:1" x14ac:dyDescent="0.25">
      <c r="A20" t="s">
        <v>591</v>
      </c>
    </row>
    <row r="21" spans="1:1" x14ac:dyDescent="0.25">
      <c r="A21" t="s">
        <v>592</v>
      </c>
    </row>
    <row r="22" spans="1:1" x14ac:dyDescent="0.25">
      <c r="A22" t="s">
        <v>593</v>
      </c>
    </row>
    <row r="23" spans="1:1" x14ac:dyDescent="0.25">
      <c r="A23" t="s">
        <v>594</v>
      </c>
    </row>
    <row r="24" spans="1:1" x14ac:dyDescent="0.25">
      <c r="A24" t="s">
        <v>595</v>
      </c>
    </row>
    <row r="25" spans="1:1" x14ac:dyDescent="0.25">
      <c r="A25" t="s">
        <v>596</v>
      </c>
    </row>
    <row r="26" spans="1:1" x14ac:dyDescent="0.25">
      <c r="A26" t="s">
        <v>597</v>
      </c>
    </row>
    <row r="27" spans="1:1" x14ac:dyDescent="0.25">
      <c r="A27" t="s">
        <v>598</v>
      </c>
    </row>
    <row r="28" spans="1:1" x14ac:dyDescent="0.25">
      <c r="A28" t="s">
        <v>599</v>
      </c>
    </row>
    <row r="29" spans="1:1" x14ac:dyDescent="0.25">
      <c r="A29" t="s">
        <v>600</v>
      </c>
    </row>
    <row r="30" spans="1:1" x14ac:dyDescent="0.25">
      <c r="A30" t="s">
        <v>601</v>
      </c>
    </row>
    <row r="31" spans="1:1" x14ac:dyDescent="0.25">
      <c r="A31" t="s">
        <v>602</v>
      </c>
    </row>
    <row r="32" spans="1:1" x14ac:dyDescent="0.25">
      <c r="A32" t="s">
        <v>603</v>
      </c>
    </row>
    <row r="33" spans="1:1" x14ac:dyDescent="0.25">
      <c r="A33" t="s">
        <v>604</v>
      </c>
    </row>
    <row r="34" spans="1:1" x14ac:dyDescent="0.25">
      <c r="A34" t="s">
        <v>605</v>
      </c>
    </row>
    <row r="35" spans="1:1" x14ac:dyDescent="0.25">
      <c r="A35" t="s">
        <v>606</v>
      </c>
    </row>
    <row r="36" spans="1:1" x14ac:dyDescent="0.25">
      <c r="A36" t="s">
        <v>607</v>
      </c>
    </row>
    <row r="37" spans="1:1" x14ac:dyDescent="0.25">
      <c r="A37" t="s">
        <v>608</v>
      </c>
    </row>
    <row r="38" spans="1:1" x14ac:dyDescent="0.25">
      <c r="A38" t="s">
        <v>609</v>
      </c>
    </row>
    <row r="39" spans="1:1" x14ac:dyDescent="0.25">
      <c r="A39" t="s">
        <v>610</v>
      </c>
    </row>
    <row r="40" spans="1:1" x14ac:dyDescent="0.25">
      <c r="A40" t="s">
        <v>611</v>
      </c>
    </row>
    <row r="41" spans="1:1" x14ac:dyDescent="0.25">
      <c r="A41" t="s">
        <v>612</v>
      </c>
    </row>
    <row r="42" spans="1:1" x14ac:dyDescent="0.25">
      <c r="A42" t="s">
        <v>613</v>
      </c>
    </row>
    <row r="43" spans="1:1" x14ac:dyDescent="0.25">
      <c r="A43" t="s">
        <v>614</v>
      </c>
    </row>
    <row r="44" spans="1:1" x14ac:dyDescent="0.25">
      <c r="A44" t="s">
        <v>615</v>
      </c>
    </row>
    <row r="45" spans="1:1" x14ac:dyDescent="0.25">
      <c r="A45" t="s">
        <v>616</v>
      </c>
    </row>
    <row r="46" spans="1:1" x14ac:dyDescent="0.25">
      <c r="A46" t="s">
        <v>617</v>
      </c>
    </row>
    <row r="47" spans="1:1" x14ac:dyDescent="0.25">
      <c r="A47" t="s">
        <v>618</v>
      </c>
    </row>
    <row r="48" spans="1:1" x14ac:dyDescent="0.25">
      <c r="A48" t="s">
        <v>619</v>
      </c>
    </row>
    <row r="49" spans="1:1" x14ac:dyDescent="0.25">
      <c r="A49" t="s">
        <v>620</v>
      </c>
    </row>
    <row r="50" spans="1:1" x14ac:dyDescent="0.25">
      <c r="A50" t="s">
        <v>165</v>
      </c>
    </row>
    <row r="51" spans="1:1" x14ac:dyDescent="0.25">
      <c r="A51" t="s">
        <v>621</v>
      </c>
    </row>
    <row r="52" spans="1:1" x14ac:dyDescent="0.25">
      <c r="A52" t="s">
        <v>622</v>
      </c>
    </row>
    <row r="53" spans="1:1" x14ac:dyDescent="0.25">
      <c r="A53" t="s">
        <v>623</v>
      </c>
    </row>
    <row r="54" spans="1:1" x14ac:dyDescent="0.25">
      <c r="A54" t="s">
        <v>624</v>
      </c>
    </row>
    <row r="55" spans="1:1" x14ac:dyDescent="0.25">
      <c r="A55" t="s">
        <v>625</v>
      </c>
    </row>
    <row r="56" spans="1:1" x14ac:dyDescent="0.25">
      <c r="A56" t="s">
        <v>626</v>
      </c>
    </row>
    <row r="57" spans="1:1" x14ac:dyDescent="0.25">
      <c r="A57" t="s">
        <v>627</v>
      </c>
    </row>
    <row r="58" spans="1:1" x14ac:dyDescent="0.25">
      <c r="A58" t="s">
        <v>628</v>
      </c>
    </row>
    <row r="59" spans="1:1" x14ac:dyDescent="0.25">
      <c r="A59" t="s">
        <v>629</v>
      </c>
    </row>
    <row r="60" spans="1:1" x14ac:dyDescent="0.25">
      <c r="A60" t="s">
        <v>630</v>
      </c>
    </row>
    <row r="61" spans="1:1" x14ac:dyDescent="0.25">
      <c r="A61" t="s">
        <v>169</v>
      </c>
    </row>
    <row r="62" spans="1:1" x14ac:dyDescent="0.25">
      <c r="A62" t="s">
        <v>631</v>
      </c>
    </row>
    <row r="63" spans="1:1" x14ac:dyDescent="0.25">
      <c r="A63" t="s">
        <v>632</v>
      </c>
    </row>
    <row r="64" spans="1:1" x14ac:dyDescent="0.25">
      <c r="A64" t="s">
        <v>633</v>
      </c>
    </row>
    <row r="65" spans="1:1" x14ac:dyDescent="0.25">
      <c r="A65" t="s">
        <v>634</v>
      </c>
    </row>
    <row r="66" spans="1:1" x14ac:dyDescent="0.25">
      <c r="A66" t="s">
        <v>635</v>
      </c>
    </row>
    <row r="67" spans="1:1" x14ac:dyDescent="0.25">
      <c r="A67" t="s">
        <v>636</v>
      </c>
    </row>
    <row r="68" spans="1:1" x14ac:dyDescent="0.25">
      <c r="A68" t="s">
        <v>637</v>
      </c>
    </row>
    <row r="69" spans="1:1" x14ac:dyDescent="0.25">
      <c r="A69" t="s">
        <v>638</v>
      </c>
    </row>
    <row r="70" spans="1:1" x14ac:dyDescent="0.25">
      <c r="A70" t="s">
        <v>639</v>
      </c>
    </row>
    <row r="71" spans="1:1" x14ac:dyDescent="0.25">
      <c r="A71" t="s">
        <v>640</v>
      </c>
    </row>
    <row r="72" spans="1:1" x14ac:dyDescent="0.25">
      <c r="A72" t="s">
        <v>641</v>
      </c>
    </row>
    <row r="73" spans="1:1" x14ac:dyDescent="0.25">
      <c r="A73" t="s">
        <v>642</v>
      </c>
    </row>
    <row r="74" spans="1:1" x14ac:dyDescent="0.25">
      <c r="A74" t="s">
        <v>643</v>
      </c>
    </row>
    <row r="75" spans="1:1" x14ac:dyDescent="0.25">
      <c r="A75" t="s">
        <v>644</v>
      </c>
    </row>
    <row r="76" spans="1:1" x14ac:dyDescent="0.25">
      <c r="A76" t="s">
        <v>645</v>
      </c>
    </row>
    <row r="77" spans="1:1" x14ac:dyDescent="0.25">
      <c r="A77" t="s">
        <v>646</v>
      </c>
    </row>
    <row r="78" spans="1:1" x14ac:dyDescent="0.25">
      <c r="A78" t="s">
        <v>647</v>
      </c>
    </row>
    <row r="79" spans="1:1" x14ac:dyDescent="0.25">
      <c r="A79" t="s">
        <v>648</v>
      </c>
    </row>
    <row r="80" spans="1:1" x14ac:dyDescent="0.25">
      <c r="A80" t="s">
        <v>649</v>
      </c>
    </row>
    <row r="81" spans="1:1" x14ac:dyDescent="0.25">
      <c r="A81" t="s">
        <v>650</v>
      </c>
    </row>
    <row r="82" spans="1:1" x14ac:dyDescent="0.25">
      <c r="A82" t="s">
        <v>651</v>
      </c>
    </row>
    <row r="83" spans="1:1" x14ac:dyDescent="0.25">
      <c r="A83" t="s">
        <v>652</v>
      </c>
    </row>
  </sheetData>
  <mergeCells count="1">
    <mergeCell ref="D1:G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A2FF8-E67F-4AF9-A6F9-E2B7AE862021}">
  <sheetPr codeName="Sheet1"/>
  <dimension ref="A1:BH65"/>
  <sheetViews>
    <sheetView tabSelected="1" zoomScale="80" zoomScaleNormal="80" workbookViewId="0">
      <selection sqref="A1:C1"/>
    </sheetView>
  </sheetViews>
  <sheetFormatPr defaultColWidth="9.28515625" defaultRowHeight="14.25" x14ac:dyDescent="0.2"/>
  <cols>
    <col min="1" max="1" width="25" style="2" customWidth="1"/>
    <col min="2" max="2" width="51.28515625" style="2" customWidth="1"/>
    <col min="3" max="3" width="49.7109375" style="2" customWidth="1"/>
    <col min="4" max="4" width="51.7109375" style="2" customWidth="1"/>
    <col min="5" max="5" width="50.5703125" style="2" customWidth="1"/>
    <col min="6" max="6" width="9.85546875" style="2" customWidth="1"/>
    <col min="7" max="9" width="8.7109375" style="2" customWidth="1"/>
    <col min="10" max="16384" width="9.28515625" style="2"/>
  </cols>
  <sheetData>
    <row r="1" spans="1:9" ht="18" x14ac:dyDescent="0.2">
      <c r="A1" s="539" t="s">
        <v>48</v>
      </c>
      <c r="B1" s="539"/>
      <c r="C1" s="539"/>
      <c r="D1" s="10"/>
      <c r="E1" s="10"/>
      <c r="F1" s="10"/>
    </row>
    <row r="2" spans="1:9" ht="25.15" customHeight="1" x14ac:dyDescent="0.2">
      <c r="A2" s="540" t="s">
        <v>41</v>
      </c>
      <c r="B2" s="541"/>
      <c r="C2" s="541"/>
      <c r="D2" s="10"/>
      <c r="E2" s="10"/>
      <c r="F2" s="10"/>
    </row>
    <row r="3" spans="1:9" ht="20.45" customHeight="1" x14ac:dyDescent="0.2">
      <c r="A3" s="18" t="s">
        <v>49</v>
      </c>
      <c r="B3" s="508" t="s">
        <v>50</v>
      </c>
      <c r="C3" s="19" t="s">
        <v>0</v>
      </c>
    </row>
    <row r="4" spans="1:9" ht="16.149999999999999" customHeight="1" x14ac:dyDescent="0.2">
      <c r="A4" s="15" t="s">
        <v>51</v>
      </c>
      <c r="B4" s="484" t="s">
        <v>41</v>
      </c>
      <c r="C4" s="15"/>
    </row>
    <row r="5" spans="1:9" ht="16.149999999999999" customHeight="1" x14ac:dyDescent="0.2">
      <c r="A5" s="15" t="s">
        <v>52</v>
      </c>
      <c r="B5" s="484" t="s">
        <v>53</v>
      </c>
      <c r="C5" s="15"/>
    </row>
    <row r="6" spans="1:9" ht="28.9" customHeight="1" x14ac:dyDescent="0.2">
      <c r="A6" s="15" t="s">
        <v>54</v>
      </c>
      <c r="B6" s="16" t="s">
        <v>55</v>
      </c>
      <c r="C6" s="344" t="s">
        <v>56</v>
      </c>
      <c r="D6" s="68" t="s">
        <v>57</v>
      </c>
    </row>
    <row r="7" spans="1:9" ht="97.15" customHeight="1" x14ac:dyDescent="0.2">
      <c r="A7" s="15" t="s">
        <v>58</v>
      </c>
      <c r="B7" s="484"/>
      <c r="C7" s="17" t="s">
        <v>59</v>
      </c>
      <c r="D7" s="79"/>
      <c r="I7" s="3"/>
    </row>
    <row r="8" spans="1:9" ht="55.5" customHeight="1" x14ac:dyDescent="0.2">
      <c r="A8" s="11" t="s">
        <v>60</v>
      </c>
      <c r="B8" s="12" t="s">
        <v>61</v>
      </c>
      <c r="C8" s="17" t="s">
        <v>62</v>
      </c>
    </row>
    <row r="9" spans="1:9" ht="16.149999999999999" customHeight="1" x14ac:dyDescent="0.2">
      <c r="A9" s="11" t="s">
        <v>63</v>
      </c>
      <c r="B9" s="67">
        <v>2.2000000000000002</v>
      </c>
      <c r="C9" s="17" t="s">
        <v>59</v>
      </c>
    </row>
    <row r="10" spans="1:9" x14ac:dyDescent="0.2">
      <c r="A10" s="13" t="s">
        <v>64</v>
      </c>
      <c r="B10" s="484">
        <v>1</v>
      </c>
      <c r="C10" s="72"/>
    </row>
    <row r="11" spans="1:9" x14ac:dyDescent="0.2">
      <c r="A11" s="13" t="s">
        <v>65</v>
      </c>
      <c r="B11" s="484" t="s">
        <v>66</v>
      </c>
      <c r="C11" s="72"/>
    </row>
    <row r="12" spans="1:9" x14ac:dyDescent="0.2">
      <c r="A12" s="13" t="s">
        <v>67</v>
      </c>
      <c r="B12" s="90">
        <v>7.1000000000000004E-3</v>
      </c>
      <c r="C12" s="17" t="s">
        <v>59</v>
      </c>
    </row>
    <row r="13" spans="1:9" ht="14.65" customHeight="1" x14ac:dyDescent="0.2">
      <c r="A13" s="11" t="s">
        <v>68</v>
      </c>
      <c r="B13" s="14" t="s">
        <v>69</v>
      </c>
      <c r="C13" s="15"/>
    </row>
    <row r="14" spans="1:9" ht="14.65" customHeight="1" x14ac:dyDescent="0.2">
      <c r="A14" s="11" t="s">
        <v>70</v>
      </c>
      <c r="B14" s="484">
        <v>28</v>
      </c>
      <c r="C14" s="17" t="s">
        <v>59</v>
      </c>
    </row>
    <row r="15" spans="1:9" ht="16.149999999999999" customHeight="1" x14ac:dyDescent="0.2">
      <c r="A15" s="11" t="s">
        <v>71</v>
      </c>
      <c r="B15" s="484" t="s">
        <v>72</v>
      </c>
      <c r="C15" s="17" t="s">
        <v>59</v>
      </c>
    </row>
    <row r="16" spans="1:9" x14ac:dyDescent="0.2">
      <c r="A16" s="11" t="s">
        <v>73</v>
      </c>
      <c r="B16" s="16" t="s">
        <v>74</v>
      </c>
      <c r="C16" s="17" t="s">
        <v>59</v>
      </c>
    </row>
    <row r="19" spans="1:60" ht="14.65" customHeight="1" x14ac:dyDescent="0.2"/>
    <row r="20" spans="1:60" ht="14.65" customHeight="1" x14ac:dyDescent="0.2"/>
    <row r="21" spans="1:60" ht="14.65" customHeight="1" x14ac:dyDescent="0.2"/>
    <row r="22" spans="1:60" ht="14.65" customHeight="1" x14ac:dyDescent="0.2"/>
    <row r="23" spans="1:60" ht="14.65" customHeight="1" x14ac:dyDescent="0.2"/>
    <row r="24" spans="1:60" ht="14.65" customHeight="1" x14ac:dyDescent="0.2"/>
    <row r="25" spans="1:60" ht="14.65" customHeight="1" x14ac:dyDescent="0.2"/>
    <row r="26" spans="1:60" ht="14.65" customHeight="1" x14ac:dyDescent="0.2"/>
    <row r="27" spans="1:60" ht="14.65" customHeight="1" x14ac:dyDescent="0.2"/>
    <row r="28" spans="1:60" ht="14.65" customHeight="1" x14ac:dyDescent="0.2"/>
    <row r="29" spans="1:60" ht="14.65" customHeight="1" x14ac:dyDescent="0.2"/>
    <row r="30" spans="1:60" s="191" customFormat="1" ht="16.899999999999999" customHeight="1" x14ac:dyDescent="0.25">
      <c r="A30" s="191" t="s">
        <v>75</v>
      </c>
    </row>
    <row r="31" spans="1:60" s="4" customFormat="1" ht="12.6" customHeight="1" x14ac:dyDescent="0.2">
      <c r="U31" s="37"/>
      <c r="V31" s="57"/>
      <c r="W31" s="58"/>
      <c r="X31" s="58"/>
      <c r="Y31" s="58"/>
      <c r="Z31" s="58"/>
      <c r="AA31" s="58"/>
      <c r="AB31" s="58"/>
      <c r="AC31" s="58"/>
      <c r="AD31" s="58"/>
      <c r="AE31" s="58"/>
      <c r="AF31" s="58"/>
      <c r="AG31" s="58"/>
      <c r="AH31" s="58"/>
      <c r="AI31" s="58"/>
      <c r="AJ31" s="58"/>
      <c r="AK31" s="58"/>
      <c r="AL31" s="58"/>
    </row>
    <row r="32" spans="1:60" s="62" customFormat="1" ht="26.45" customHeight="1" x14ac:dyDescent="0.2">
      <c r="A32" s="180" t="s">
        <v>76</v>
      </c>
      <c r="B32" s="2"/>
      <c r="C32" s="179"/>
      <c r="D32" s="179"/>
      <c r="E32" s="179"/>
      <c r="F32" s="60"/>
      <c r="G32" s="60"/>
      <c r="H32" s="60"/>
      <c r="I32" s="60"/>
      <c r="J32" s="60"/>
      <c r="K32" s="60"/>
      <c r="L32" s="60"/>
      <c r="M32" s="60"/>
      <c r="N32" s="60"/>
      <c r="O32" s="60"/>
      <c r="P32" s="60"/>
      <c r="Q32" s="2"/>
      <c r="R32" s="2"/>
      <c r="S32" s="2"/>
      <c r="T32" s="2"/>
      <c r="U32" s="2"/>
      <c r="V32" s="2"/>
      <c r="W32" s="2"/>
      <c r="X32" s="2"/>
      <c r="Y32" s="2"/>
      <c r="Z32" s="2"/>
      <c r="AA32" s="2"/>
      <c r="AB32" s="2"/>
      <c r="AC32" s="2"/>
      <c r="AD32" s="2"/>
      <c r="AE32" s="2"/>
      <c r="AF32" s="2"/>
      <c r="AG32" s="2"/>
      <c r="AH32" s="2"/>
      <c r="AI32" s="2"/>
      <c r="AJ32" s="2"/>
      <c r="AK32" s="2"/>
      <c r="AL32" s="2"/>
      <c r="AM32" s="2"/>
      <c r="AN32" s="2"/>
      <c r="AO32" s="2"/>
      <c r="AP32" s="2"/>
      <c r="AQ32" s="2"/>
      <c r="AR32" s="2"/>
      <c r="AS32" s="2"/>
      <c r="AT32" s="2"/>
      <c r="AU32" s="2"/>
      <c r="AV32" s="2"/>
      <c r="AW32" s="2"/>
      <c r="AX32" s="2"/>
      <c r="AY32" s="2"/>
      <c r="AZ32" s="2"/>
      <c r="BA32" s="2"/>
      <c r="BB32" s="2"/>
      <c r="BC32" s="2"/>
      <c r="BD32" s="2"/>
      <c r="BE32" s="2"/>
      <c r="BF32" s="2"/>
      <c r="BG32" s="2"/>
      <c r="BH32" s="2"/>
    </row>
    <row r="33" spans="1:60" s="62" customFormat="1" ht="14.45" customHeight="1" x14ac:dyDescent="0.2">
      <c r="A33" s="181"/>
      <c r="B33" s="182" t="s">
        <v>77</v>
      </c>
      <c r="C33" s="182" t="s">
        <v>78</v>
      </c>
      <c r="D33" s="182" t="s">
        <v>79</v>
      </c>
      <c r="E33" s="182" t="s">
        <v>80</v>
      </c>
      <c r="F33" s="2"/>
      <c r="G33" s="2"/>
      <c r="H33" s="2"/>
      <c r="I33" s="2"/>
      <c r="J33" s="2"/>
      <c r="K33" s="2"/>
      <c r="L33" s="2"/>
      <c r="M33" s="2"/>
      <c r="N33" s="2"/>
      <c r="O33" s="2"/>
      <c r="P33" s="2"/>
      <c r="Q33" s="2"/>
      <c r="R33" s="2"/>
      <c r="S33" s="2"/>
      <c r="T33" s="2"/>
      <c r="U33" s="2"/>
      <c r="V33" s="2"/>
      <c r="W33" s="2"/>
      <c r="X33" s="2"/>
      <c r="Y33" s="2"/>
      <c r="Z33" s="2"/>
      <c r="AA33" s="2"/>
      <c r="AB33" s="2"/>
      <c r="AC33" s="2"/>
      <c r="AD33" s="2"/>
      <c r="AE33" s="2"/>
      <c r="AF33" s="2"/>
      <c r="AG33" s="2"/>
      <c r="AH33" s="2"/>
      <c r="AI33" s="2"/>
      <c r="AJ33" s="2"/>
      <c r="AK33" s="2"/>
      <c r="AL33" s="2"/>
      <c r="AM33" s="2"/>
      <c r="AN33" s="2"/>
      <c r="AO33" s="2"/>
      <c r="AP33" s="2"/>
      <c r="AQ33" s="2"/>
      <c r="AR33" s="2"/>
      <c r="AS33" s="2"/>
      <c r="AT33" s="2"/>
      <c r="AU33" s="2"/>
      <c r="AV33" s="2"/>
      <c r="AW33" s="2"/>
      <c r="AX33" s="2"/>
      <c r="AY33" s="2"/>
      <c r="AZ33" s="2"/>
      <c r="BA33" s="2"/>
      <c r="BB33" s="2"/>
      <c r="BC33" s="2"/>
      <c r="BD33" s="2"/>
      <c r="BE33" s="2"/>
      <c r="BF33" s="2"/>
      <c r="BG33" s="2"/>
      <c r="BH33" s="2"/>
    </row>
    <row r="34" spans="1:60" s="62" customFormat="1" ht="127.15" customHeight="1" x14ac:dyDescent="0.2">
      <c r="A34" s="183" t="s">
        <v>81</v>
      </c>
      <c r="B34" s="184"/>
      <c r="C34" s="185"/>
      <c r="D34" s="185"/>
      <c r="E34" s="185"/>
      <c r="F34" s="2"/>
      <c r="G34" s="2"/>
      <c r="H34" s="2"/>
      <c r="I34" s="2"/>
      <c r="J34" s="2"/>
      <c r="K34" s="2"/>
      <c r="L34" s="2"/>
      <c r="M34" s="2"/>
      <c r="N34" s="2"/>
      <c r="O34" s="2"/>
      <c r="P34" s="2"/>
      <c r="Q34" s="2"/>
      <c r="R34" s="2"/>
      <c r="S34" s="2"/>
      <c r="T34" s="2"/>
      <c r="U34" s="2"/>
      <c r="V34" s="2"/>
      <c r="W34" s="2"/>
      <c r="X34" s="2"/>
      <c r="Y34" s="2"/>
      <c r="Z34" s="2"/>
      <c r="AA34" s="2"/>
      <c r="AB34" s="2"/>
      <c r="AC34" s="2"/>
      <c r="AD34" s="2"/>
      <c r="AE34" s="2"/>
      <c r="AF34" s="2"/>
      <c r="AG34" s="2"/>
      <c r="AH34" s="2"/>
      <c r="AI34" s="2"/>
      <c r="AJ34" s="2"/>
      <c r="AK34" s="2"/>
      <c r="AL34" s="2"/>
      <c r="AM34" s="2"/>
      <c r="AN34" s="2"/>
      <c r="AO34" s="2"/>
      <c r="AP34" s="2"/>
      <c r="AQ34" s="2"/>
      <c r="AR34" s="2"/>
      <c r="AS34" s="2"/>
      <c r="AT34" s="2"/>
      <c r="AU34" s="2"/>
      <c r="AV34" s="2"/>
      <c r="AW34" s="2"/>
      <c r="AX34" s="2"/>
      <c r="AY34" s="2"/>
      <c r="AZ34" s="2"/>
      <c r="BA34" s="2"/>
      <c r="BB34" s="2"/>
      <c r="BC34" s="2"/>
      <c r="BD34" s="2"/>
      <c r="BE34" s="2"/>
      <c r="BF34" s="2"/>
      <c r="BG34" s="2"/>
      <c r="BH34" s="2"/>
    </row>
    <row r="35" spans="1:60" s="62" customFormat="1" ht="19.149999999999999" customHeight="1" x14ac:dyDescent="0.2">
      <c r="A35" s="181" t="s">
        <v>82</v>
      </c>
      <c r="B35" s="186">
        <v>49495.17</v>
      </c>
      <c r="C35" s="186">
        <v>49495.29</v>
      </c>
      <c r="D35" s="186">
        <v>499990.41</v>
      </c>
      <c r="E35" s="187">
        <v>499990.41</v>
      </c>
      <c r="F35" s="2"/>
      <c r="G35" s="2"/>
      <c r="H35" s="2"/>
      <c r="I35" s="2"/>
      <c r="J35" s="2"/>
      <c r="K35" s="2"/>
      <c r="L35" s="2"/>
      <c r="M35" s="2"/>
      <c r="N35" s="2"/>
      <c r="O35" s="2"/>
      <c r="P35" s="2"/>
      <c r="Q35" s="2"/>
      <c r="R35" s="2"/>
      <c r="S35" s="2"/>
      <c r="T35" s="2"/>
      <c r="U35" s="2"/>
      <c r="V35" s="2"/>
      <c r="W35" s="2"/>
      <c r="X35" s="2"/>
      <c r="Y35" s="2"/>
      <c r="Z35" s="2"/>
      <c r="AA35" s="2"/>
      <c r="AB35" s="2"/>
      <c r="AC35" s="2"/>
      <c r="AD35" s="2"/>
      <c r="AE35" s="2"/>
      <c r="AF35" s="2"/>
      <c r="AG35" s="2"/>
      <c r="AH35" s="2"/>
      <c r="AI35" s="2"/>
      <c r="AJ35" s="2"/>
      <c r="AK35" s="2"/>
      <c r="AL35" s="2"/>
      <c r="AM35" s="2"/>
      <c r="AN35" s="2"/>
      <c r="AO35" s="2"/>
      <c r="AP35" s="2"/>
      <c r="AQ35" s="2"/>
      <c r="AR35" s="2"/>
      <c r="AS35" s="2"/>
      <c r="AT35" s="2"/>
      <c r="AU35" s="2"/>
      <c r="AV35" s="2"/>
      <c r="AW35" s="2"/>
      <c r="AX35" s="2"/>
      <c r="AY35" s="2"/>
      <c r="AZ35" s="2"/>
      <c r="BA35" s="2"/>
      <c r="BB35" s="2"/>
      <c r="BC35" s="2"/>
      <c r="BD35" s="2"/>
      <c r="BE35" s="2"/>
      <c r="BF35" s="2"/>
      <c r="BG35" s="2"/>
      <c r="BH35" s="2"/>
    </row>
    <row r="36" spans="1:60" s="62" customFormat="1" ht="18" customHeight="1" x14ac:dyDescent="0.2">
      <c r="A36" s="181" t="s">
        <v>83</v>
      </c>
      <c r="B36" s="188">
        <v>28</v>
      </c>
      <c r="C36" s="189">
        <v>28</v>
      </c>
      <c r="D36" s="189">
        <v>48</v>
      </c>
      <c r="E36" s="190">
        <v>48</v>
      </c>
      <c r="F36" s="2"/>
      <c r="G36" s="2"/>
      <c r="H36" s="2"/>
      <c r="I36" s="2"/>
      <c r="J36" s="2"/>
      <c r="K36" s="2"/>
      <c r="L36" s="2"/>
      <c r="M36" s="2"/>
      <c r="N36" s="2"/>
      <c r="O36" s="2"/>
      <c r="P36" s="2"/>
      <c r="Q36" s="2"/>
      <c r="R36" s="2"/>
      <c r="S36" s="2"/>
      <c r="T36" s="2"/>
      <c r="U36" s="2"/>
      <c r="V36" s="2"/>
      <c r="W36" s="2"/>
      <c r="X36" s="2"/>
      <c r="Y36" s="2"/>
      <c r="Z36" s="2"/>
      <c r="AA36" s="2"/>
      <c r="AB36" s="2"/>
      <c r="AC36" s="2"/>
      <c r="AD36" s="2"/>
      <c r="AE36" s="2"/>
      <c r="AF36" s="2"/>
      <c r="AG36" s="2"/>
      <c r="AH36" s="2"/>
      <c r="AI36" s="2"/>
      <c r="AJ36" s="2"/>
      <c r="AK36" s="2"/>
      <c r="AL36" s="2"/>
      <c r="AM36" s="2"/>
      <c r="AN36" s="2"/>
      <c r="AO36" s="2"/>
      <c r="AP36" s="2"/>
      <c r="AQ36" s="2"/>
      <c r="AR36" s="2"/>
      <c r="AS36" s="2"/>
      <c r="AT36" s="2"/>
      <c r="AU36" s="2"/>
      <c r="AV36" s="2"/>
      <c r="AW36" s="2"/>
      <c r="AX36" s="2"/>
      <c r="AY36" s="2"/>
      <c r="AZ36" s="2"/>
      <c r="BA36" s="2"/>
      <c r="BB36" s="2"/>
      <c r="BC36" s="2"/>
      <c r="BD36" s="2"/>
      <c r="BE36" s="2"/>
      <c r="BF36" s="2"/>
      <c r="BG36" s="2"/>
      <c r="BH36" s="2"/>
    </row>
    <row r="38" spans="1:60" ht="73.150000000000006" customHeight="1" x14ac:dyDescent="0.2">
      <c r="A38" s="542" t="s">
        <v>84</v>
      </c>
      <c r="B38" s="490" t="s">
        <v>85</v>
      </c>
      <c r="C38" s="230" t="s">
        <v>86</v>
      </c>
      <c r="D38" s="230" t="s">
        <v>87</v>
      </c>
      <c r="E38" s="545"/>
      <c r="F38" s="538"/>
      <c r="G38" s="538"/>
      <c r="H38" s="538"/>
      <c r="I38" s="538"/>
      <c r="J38" s="538"/>
      <c r="K38" s="538"/>
      <c r="L38" s="538"/>
      <c r="M38" s="538"/>
      <c r="N38" s="538"/>
      <c r="O38" s="538"/>
      <c r="P38" s="538"/>
      <c r="Q38" s="538"/>
      <c r="R38" s="538"/>
      <c r="S38" s="538"/>
      <c r="T38" s="538"/>
      <c r="U38" s="538"/>
      <c r="V38" s="538"/>
      <c r="W38" s="538"/>
      <c r="X38" s="538"/>
      <c r="Y38" s="538"/>
      <c r="Z38" s="538"/>
      <c r="AA38" s="538"/>
      <c r="AB38" s="538"/>
      <c r="AC38" s="538"/>
      <c r="AD38" s="538"/>
      <c r="AE38" s="538"/>
      <c r="AF38" s="538"/>
      <c r="AG38" s="538"/>
      <c r="AH38" s="538"/>
      <c r="AI38" s="538"/>
      <c r="AJ38" s="538"/>
      <c r="AK38" s="538"/>
      <c r="AL38" s="538"/>
      <c r="AM38" s="538"/>
      <c r="AN38" s="538"/>
      <c r="AO38" s="538"/>
      <c r="AP38" s="538"/>
      <c r="AQ38" s="538"/>
      <c r="AR38" s="538"/>
      <c r="AS38" s="538"/>
      <c r="AT38" s="538"/>
      <c r="AU38" s="538"/>
      <c r="AV38" s="538"/>
      <c r="AW38" s="538"/>
      <c r="AX38" s="538"/>
      <c r="AY38" s="538"/>
      <c r="AZ38" s="538"/>
      <c r="BA38" s="538"/>
      <c r="BB38" s="538"/>
      <c r="BC38" s="538"/>
      <c r="BD38" s="538"/>
      <c r="BE38" s="538"/>
      <c r="BF38" s="538"/>
      <c r="BG38" s="538"/>
      <c r="BH38" s="538"/>
    </row>
    <row r="39" spans="1:60" ht="44.45" customHeight="1" x14ac:dyDescent="0.2">
      <c r="A39" s="543"/>
      <c r="B39" s="491" t="s">
        <v>88</v>
      </c>
      <c r="C39" s="231" t="s">
        <v>89</v>
      </c>
      <c r="D39" s="231" t="s">
        <v>90</v>
      </c>
      <c r="E39" s="545"/>
      <c r="F39" s="538"/>
      <c r="G39" s="538"/>
      <c r="H39" s="538"/>
      <c r="I39" s="538"/>
      <c r="J39" s="538"/>
      <c r="K39" s="538"/>
      <c r="L39" s="538"/>
      <c r="M39" s="538"/>
      <c r="N39" s="538"/>
      <c r="O39" s="538"/>
      <c r="P39" s="538"/>
      <c r="Q39" s="538"/>
      <c r="R39" s="538"/>
      <c r="S39" s="538"/>
      <c r="T39" s="538"/>
      <c r="U39" s="538"/>
      <c r="V39" s="538"/>
      <c r="W39" s="538"/>
      <c r="X39" s="538"/>
      <c r="Y39" s="538"/>
      <c r="Z39" s="538"/>
      <c r="AA39" s="538"/>
      <c r="AB39" s="538"/>
      <c r="AC39" s="538"/>
      <c r="AD39" s="538"/>
      <c r="AE39" s="538"/>
      <c r="AF39" s="538"/>
      <c r="AG39" s="538"/>
      <c r="AH39" s="538"/>
      <c r="AI39" s="538"/>
      <c r="AJ39" s="538"/>
      <c r="AK39" s="538"/>
      <c r="AL39" s="538"/>
      <c r="AM39" s="538"/>
      <c r="AN39" s="538"/>
      <c r="AO39" s="538"/>
      <c r="AP39" s="538"/>
      <c r="AQ39" s="538"/>
      <c r="AR39" s="538"/>
      <c r="AS39" s="538"/>
      <c r="AT39" s="538"/>
      <c r="AU39" s="538"/>
      <c r="AV39" s="538"/>
      <c r="AW39" s="538"/>
      <c r="AX39" s="538"/>
      <c r="AY39" s="538"/>
      <c r="AZ39" s="538"/>
      <c r="BA39" s="538"/>
      <c r="BB39" s="538"/>
      <c r="BC39" s="538"/>
      <c r="BD39" s="538"/>
      <c r="BE39" s="538"/>
      <c r="BF39" s="538"/>
      <c r="BG39" s="538"/>
      <c r="BH39" s="538"/>
    </row>
    <row r="40" spans="1:60" x14ac:dyDescent="0.2">
      <c r="A40" s="544"/>
      <c r="B40" s="492" t="s">
        <v>91</v>
      </c>
      <c r="C40" s="232" t="s">
        <v>92</v>
      </c>
      <c r="D40" s="232"/>
      <c r="E40" s="545"/>
      <c r="F40" s="538"/>
      <c r="G40" s="538"/>
      <c r="H40" s="538"/>
      <c r="I40" s="538"/>
      <c r="J40" s="538"/>
      <c r="K40" s="538"/>
      <c r="L40" s="538"/>
      <c r="M40" s="538"/>
      <c r="N40" s="538"/>
      <c r="O40" s="538"/>
      <c r="P40" s="538"/>
      <c r="Q40" s="538"/>
      <c r="R40" s="538"/>
      <c r="S40" s="538"/>
      <c r="T40" s="538"/>
      <c r="U40" s="538"/>
      <c r="V40" s="538"/>
      <c r="W40" s="538"/>
      <c r="X40" s="538"/>
      <c r="Y40" s="538"/>
      <c r="Z40" s="538"/>
      <c r="AA40" s="538"/>
      <c r="AB40" s="538"/>
      <c r="AC40" s="538"/>
      <c r="AD40" s="538"/>
      <c r="AE40" s="538"/>
      <c r="AF40" s="538"/>
      <c r="AG40" s="538"/>
      <c r="AH40" s="538"/>
      <c r="AI40" s="538"/>
      <c r="AJ40" s="538"/>
      <c r="AK40" s="538"/>
      <c r="AL40" s="538"/>
      <c r="AM40" s="538"/>
      <c r="AN40" s="538"/>
      <c r="AO40" s="538"/>
      <c r="AP40" s="538"/>
      <c r="AQ40" s="538"/>
      <c r="AR40" s="538"/>
      <c r="AS40" s="538"/>
      <c r="AT40" s="538"/>
      <c r="AU40" s="538"/>
      <c r="AV40" s="538"/>
      <c r="AW40" s="538"/>
      <c r="AX40" s="538"/>
      <c r="AY40" s="538"/>
      <c r="AZ40" s="538"/>
      <c r="BA40" s="538"/>
      <c r="BB40" s="538"/>
      <c r="BC40" s="538"/>
      <c r="BD40" s="538"/>
      <c r="BE40" s="538"/>
      <c r="BF40" s="538"/>
      <c r="BG40" s="538"/>
      <c r="BH40" s="538"/>
    </row>
    <row r="41" spans="1:60" x14ac:dyDescent="0.2">
      <c r="A41" s="542" t="s">
        <v>93</v>
      </c>
      <c r="B41" s="491" t="s">
        <v>94</v>
      </c>
      <c r="C41" s="490" t="s">
        <v>95</v>
      </c>
      <c r="D41" s="490" t="s">
        <v>96</v>
      </c>
      <c r="E41" s="545"/>
      <c r="F41" s="538"/>
      <c r="G41" s="538"/>
      <c r="H41" s="538"/>
      <c r="I41" s="538"/>
      <c r="J41" s="538"/>
      <c r="K41" s="538"/>
      <c r="L41" s="538"/>
      <c r="M41" s="538"/>
      <c r="N41" s="538"/>
      <c r="O41" s="538"/>
      <c r="P41" s="538"/>
      <c r="Q41" s="538"/>
      <c r="R41" s="538"/>
      <c r="S41" s="538"/>
      <c r="T41" s="538"/>
      <c r="U41" s="538"/>
      <c r="V41" s="538"/>
      <c r="W41" s="538"/>
      <c r="X41" s="538"/>
      <c r="Y41" s="538"/>
      <c r="Z41" s="538"/>
      <c r="AA41" s="538"/>
      <c r="AB41" s="538"/>
      <c r="AC41" s="538"/>
      <c r="AD41" s="538"/>
      <c r="AE41" s="538"/>
      <c r="AF41" s="538"/>
      <c r="AG41" s="538"/>
      <c r="AH41" s="538"/>
      <c r="AI41" s="538"/>
      <c r="AJ41" s="538"/>
      <c r="AK41" s="538"/>
      <c r="AL41" s="538"/>
      <c r="AM41" s="538"/>
      <c r="AN41" s="538"/>
      <c r="AO41" s="538"/>
      <c r="AP41" s="538"/>
      <c r="AQ41" s="538"/>
      <c r="AR41" s="538"/>
      <c r="AS41" s="538"/>
      <c r="AT41" s="538"/>
      <c r="AU41" s="538"/>
      <c r="AV41" s="538"/>
      <c r="AW41" s="538"/>
      <c r="AX41" s="538"/>
      <c r="AY41" s="538"/>
      <c r="AZ41" s="538"/>
      <c r="BA41" s="538"/>
      <c r="BB41" s="538"/>
      <c r="BC41" s="538"/>
      <c r="BD41" s="538"/>
      <c r="BE41" s="538"/>
      <c r="BF41" s="538"/>
      <c r="BG41" s="538"/>
      <c r="BH41" s="538"/>
    </row>
    <row r="42" spans="1:60" x14ac:dyDescent="0.2">
      <c r="A42" s="543"/>
      <c r="B42" s="491" t="s">
        <v>97</v>
      </c>
      <c r="C42" s="491" t="s">
        <v>98</v>
      </c>
      <c r="D42" s="491" t="s">
        <v>99</v>
      </c>
      <c r="E42" s="545"/>
      <c r="F42" s="538"/>
      <c r="G42" s="538"/>
      <c r="H42" s="538"/>
      <c r="I42" s="538"/>
      <c r="J42" s="538"/>
      <c r="K42" s="538"/>
      <c r="L42" s="538"/>
      <c r="M42" s="538"/>
      <c r="N42" s="538"/>
      <c r="O42" s="538"/>
      <c r="P42" s="538"/>
      <c r="Q42" s="538"/>
      <c r="R42" s="538"/>
      <c r="S42" s="538"/>
      <c r="T42" s="538"/>
      <c r="U42" s="538"/>
      <c r="V42" s="538"/>
      <c r="W42" s="538"/>
      <c r="X42" s="538"/>
      <c r="Y42" s="538"/>
      <c r="Z42" s="538"/>
      <c r="AA42" s="538"/>
      <c r="AB42" s="538"/>
      <c r="AC42" s="538"/>
      <c r="AD42" s="538"/>
      <c r="AE42" s="538"/>
      <c r="AF42" s="538"/>
      <c r="AG42" s="538"/>
      <c r="AH42" s="538"/>
      <c r="AI42" s="538"/>
      <c r="AJ42" s="538"/>
      <c r="AK42" s="538"/>
      <c r="AL42" s="538"/>
      <c r="AM42" s="538"/>
      <c r="AN42" s="538"/>
      <c r="AO42" s="538"/>
      <c r="AP42" s="538"/>
      <c r="AQ42" s="538"/>
      <c r="AR42" s="538"/>
      <c r="AS42" s="538"/>
      <c r="AT42" s="538"/>
      <c r="AU42" s="538"/>
      <c r="AV42" s="538"/>
      <c r="AW42" s="538"/>
      <c r="AX42" s="538"/>
      <c r="AY42" s="538"/>
      <c r="AZ42" s="538"/>
      <c r="BA42" s="538"/>
      <c r="BB42" s="538"/>
      <c r="BC42" s="538"/>
      <c r="BD42" s="538"/>
      <c r="BE42" s="538"/>
      <c r="BF42" s="538"/>
      <c r="BG42" s="538"/>
      <c r="BH42" s="538"/>
    </row>
    <row r="43" spans="1:60" x14ac:dyDescent="0.2">
      <c r="A43" s="544"/>
      <c r="B43" s="491" t="s">
        <v>100</v>
      </c>
      <c r="C43" s="492" t="s">
        <v>101</v>
      </c>
      <c r="D43" s="492"/>
      <c r="E43" s="545"/>
      <c r="F43" s="538"/>
      <c r="G43" s="538"/>
      <c r="H43" s="538"/>
      <c r="I43" s="538"/>
      <c r="J43" s="538"/>
      <c r="K43" s="538"/>
      <c r="L43" s="538"/>
      <c r="M43" s="538"/>
      <c r="N43" s="538"/>
      <c r="O43" s="538"/>
      <c r="P43" s="538"/>
      <c r="Q43" s="538"/>
      <c r="R43" s="538"/>
      <c r="S43" s="538"/>
      <c r="T43" s="538"/>
      <c r="U43" s="538"/>
      <c r="V43" s="538"/>
      <c r="W43" s="538"/>
      <c r="X43" s="538"/>
      <c r="Y43" s="538"/>
      <c r="Z43" s="538"/>
      <c r="AA43" s="538"/>
      <c r="AB43" s="538"/>
      <c r="AC43" s="538"/>
      <c r="AD43" s="538"/>
      <c r="AE43" s="538"/>
      <c r="AF43" s="538"/>
      <c r="AG43" s="538"/>
      <c r="AH43" s="538"/>
      <c r="AI43" s="538"/>
      <c r="AJ43" s="538"/>
      <c r="AK43" s="538"/>
      <c r="AL43" s="538"/>
      <c r="AM43" s="538"/>
      <c r="AN43" s="538"/>
      <c r="AO43" s="538"/>
      <c r="AP43" s="538"/>
      <c r="AQ43" s="538"/>
      <c r="AR43" s="538"/>
      <c r="AS43" s="538"/>
      <c r="AT43" s="538"/>
      <c r="AU43" s="538"/>
      <c r="AV43" s="538"/>
      <c r="AW43" s="538"/>
      <c r="AX43" s="538"/>
      <c r="AY43" s="538"/>
      <c r="AZ43" s="538"/>
      <c r="BA43" s="538"/>
      <c r="BB43" s="538"/>
      <c r="BC43" s="538"/>
      <c r="BD43" s="538"/>
      <c r="BE43" s="538"/>
      <c r="BF43" s="538"/>
      <c r="BG43" s="538"/>
      <c r="BH43" s="538"/>
    </row>
    <row r="44" spans="1:60" x14ac:dyDescent="0.2">
      <c r="A44" s="542" t="s">
        <v>102</v>
      </c>
      <c r="B44" s="490" t="s">
        <v>103</v>
      </c>
      <c r="C44" s="546" t="s">
        <v>104</v>
      </c>
      <c r="D44" s="546" t="s">
        <v>104</v>
      </c>
      <c r="E44" s="545"/>
      <c r="F44" s="538"/>
      <c r="G44" s="538"/>
      <c r="H44" s="538"/>
      <c r="I44" s="538"/>
      <c r="J44" s="538"/>
      <c r="K44" s="538"/>
      <c r="L44" s="538"/>
      <c r="M44" s="538"/>
      <c r="N44" s="538"/>
      <c r="O44" s="538"/>
      <c r="P44" s="538"/>
      <c r="Q44" s="538"/>
      <c r="R44" s="538"/>
      <c r="S44" s="538"/>
      <c r="T44" s="538"/>
      <c r="U44" s="538"/>
      <c r="V44" s="538"/>
      <c r="W44" s="538"/>
      <c r="X44" s="538"/>
      <c r="Y44" s="538"/>
      <c r="Z44" s="538"/>
      <c r="AA44" s="538"/>
      <c r="AB44" s="538"/>
      <c r="AC44" s="538"/>
      <c r="AD44" s="538"/>
      <c r="AE44" s="538"/>
      <c r="AF44" s="538"/>
      <c r="AG44" s="538"/>
      <c r="AH44" s="538"/>
      <c r="AI44" s="538"/>
      <c r="AJ44" s="538"/>
      <c r="AK44" s="538"/>
      <c r="AL44" s="538"/>
      <c r="AM44" s="538"/>
      <c r="AN44" s="538"/>
      <c r="AO44" s="538"/>
      <c r="AP44" s="538"/>
      <c r="AQ44" s="538"/>
      <c r="AR44" s="538"/>
      <c r="AS44" s="538"/>
      <c r="AT44" s="538"/>
      <c r="AU44" s="538"/>
      <c r="AV44" s="538"/>
      <c r="AW44" s="538"/>
      <c r="AX44" s="538"/>
      <c r="AY44" s="538"/>
      <c r="AZ44" s="538"/>
      <c r="BA44" s="538"/>
      <c r="BB44" s="538"/>
      <c r="BC44" s="538"/>
      <c r="BD44" s="538"/>
      <c r="BE44" s="538"/>
      <c r="BF44" s="538"/>
      <c r="BG44" s="538"/>
      <c r="BH44" s="538"/>
    </row>
    <row r="45" spans="1:60" x14ac:dyDescent="0.2">
      <c r="A45" s="543"/>
      <c r="B45" s="491" t="s">
        <v>105</v>
      </c>
      <c r="C45" s="547"/>
      <c r="D45" s="547"/>
      <c r="E45" s="545"/>
      <c r="F45" s="538"/>
      <c r="G45" s="538"/>
      <c r="H45" s="538"/>
      <c r="I45" s="538"/>
      <c r="J45" s="538"/>
      <c r="K45" s="538"/>
      <c r="L45" s="538"/>
      <c r="M45" s="538"/>
      <c r="N45" s="538"/>
      <c r="O45" s="538"/>
      <c r="P45" s="538"/>
      <c r="Q45" s="538"/>
      <c r="R45" s="538"/>
      <c r="S45" s="538"/>
      <c r="T45" s="538"/>
      <c r="U45" s="538"/>
      <c r="V45" s="538"/>
      <c r="W45" s="538"/>
      <c r="X45" s="538"/>
      <c r="Y45" s="538"/>
      <c r="Z45" s="538"/>
      <c r="AA45" s="538"/>
      <c r="AB45" s="538"/>
      <c r="AC45" s="538"/>
      <c r="AD45" s="538"/>
      <c r="AE45" s="538"/>
      <c r="AF45" s="538"/>
      <c r="AG45" s="538"/>
      <c r="AH45" s="538"/>
      <c r="AI45" s="538"/>
      <c r="AJ45" s="538"/>
      <c r="AK45" s="538"/>
      <c r="AL45" s="538"/>
      <c r="AM45" s="538"/>
      <c r="AN45" s="538"/>
      <c r="AO45" s="538"/>
      <c r="AP45" s="538"/>
      <c r="AQ45" s="538"/>
      <c r="AR45" s="538"/>
      <c r="AS45" s="538"/>
      <c r="AT45" s="538"/>
      <c r="AU45" s="538"/>
      <c r="AV45" s="538"/>
      <c r="AW45" s="538"/>
      <c r="AX45" s="538"/>
      <c r="AY45" s="538"/>
      <c r="AZ45" s="538"/>
      <c r="BA45" s="538"/>
      <c r="BB45" s="538"/>
      <c r="BC45" s="538"/>
      <c r="BD45" s="538"/>
      <c r="BE45" s="538"/>
      <c r="BF45" s="538"/>
      <c r="BG45" s="538"/>
      <c r="BH45" s="538"/>
    </row>
    <row r="46" spans="1:60" x14ac:dyDescent="0.2">
      <c r="A46" s="544"/>
      <c r="B46" s="492" t="s">
        <v>106</v>
      </c>
      <c r="C46" s="548"/>
      <c r="D46" s="548"/>
      <c r="E46" s="545"/>
      <c r="F46" s="538"/>
      <c r="G46" s="538"/>
      <c r="H46" s="538"/>
      <c r="I46" s="538"/>
      <c r="J46" s="538"/>
      <c r="K46" s="538"/>
      <c r="L46" s="538"/>
      <c r="M46" s="538"/>
      <c r="N46" s="538"/>
      <c r="O46" s="538"/>
      <c r="P46" s="538"/>
      <c r="Q46" s="538"/>
      <c r="R46" s="538"/>
      <c r="S46" s="538"/>
      <c r="T46" s="538"/>
      <c r="U46" s="538"/>
      <c r="V46" s="538"/>
      <c r="W46" s="538"/>
      <c r="X46" s="538"/>
      <c r="Y46" s="538"/>
      <c r="Z46" s="538"/>
      <c r="AA46" s="538"/>
      <c r="AB46" s="538"/>
      <c r="AC46" s="538"/>
      <c r="AD46" s="538"/>
      <c r="AE46" s="538"/>
      <c r="AF46" s="538"/>
      <c r="AG46" s="538"/>
      <c r="AH46" s="538"/>
      <c r="AI46" s="538"/>
      <c r="AJ46" s="538"/>
      <c r="AK46" s="538"/>
      <c r="AL46" s="538"/>
      <c r="AM46" s="538"/>
      <c r="AN46" s="538"/>
      <c r="AO46" s="538"/>
      <c r="AP46" s="538"/>
      <c r="AQ46" s="538"/>
      <c r="AR46" s="538"/>
      <c r="AS46" s="538"/>
      <c r="AT46" s="538"/>
      <c r="AU46" s="538"/>
      <c r="AV46" s="538"/>
      <c r="AW46" s="538"/>
      <c r="AX46" s="538"/>
      <c r="AY46" s="538"/>
      <c r="AZ46" s="538"/>
      <c r="BA46" s="538"/>
      <c r="BB46" s="538"/>
      <c r="BC46" s="538"/>
      <c r="BD46" s="538"/>
      <c r="BE46" s="538"/>
      <c r="BF46" s="538"/>
      <c r="BG46" s="538"/>
      <c r="BH46" s="538"/>
    </row>
    <row r="47" spans="1:60" x14ac:dyDescent="0.2">
      <c r="A47" s="549" t="s">
        <v>107</v>
      </c>
      <c r="B47" s="233" t="s">
        <v>108</v>
      </c>
      <c r="C47" s="235" t="s">
        <v>109</v>
      </c>
      <c r="D47" s="235" t="s">
        <v>110</v>
      </c>
      <c r="E47" s="545"/>
      <c r="F47" s="538"/>
      <c r="G47" s="538"/>
      <c r="H47" s="538"/>
      <c r="I47" s="538"/>
      <c r="J47" s="538"/>
      <c r="K47" s="538"/>
      <c r="L47" s="538"/>
      <c r="M47" s="538"/>
      <c r="N47" s="538"/>
      <c r="O47" s="538"/>
      <c r="P47" s="538"/>
      <c r="Q47" s="538"/>
      <c r="R47" s="538"/>
      <c r="S47" s="538"/>
      <c r="T47" s="538"/>
      <c r="U47" s="538"/>
      <c r="V47" s="538"/>
      <c r="W47" s="538"/>
      <c r="X47" s="538"/>
      <c r="Y47" s="538"/>
      <c r="Z47" s="538"/>
      <c r="AA47" s="538"/>
      <c r="AB47" s="538"/>
      <c r="AC47" s="538"/>
      <c r="AD47" s="538"/>
      <c r="AE47" s="538"/>
      <c r="AF47" s="538"/>
      <c r="AG47" s="538"/>
      <c r="AH47" s="538"/>
      <c r="AI47" s="538"/>
      <c r="AJ47" s="538"/>
      <c r="AK47" s="538"/>
      <c r="AL47" s="538"/>
      <c r="AM47" s="538"/>
      <c r="AN47" s="538"/>
      <c r="AO47" s="538"/>
      <c r="AP47" s="538"/>
      <c r="AQ47" s="538"/>
      <c r="AR47" s="538"/>
      <c r="AS47" s="538"/>
      <c r="AT47" s="538"/>
      <c r="AU47" s="538"/>
      <c r="AV47" s="538"/>
      <c r="AW47" s="538"/>
      <c r="AX47" s="538"/>
      <c r="AY47" s="538"/>
      <c r="AZ47" s="538"/>
      <c r="BA47" s="538"/>
      <c r="BB47" s="538"/>
      <c r="BC47" s="538"/>
      <c r="BD47" s="538"/>
      <c r="BE47" s="538"/>
      <c r="BF47" s="538"/>
      <c r="BG47" s="538"/>
      <c r="BH47" s="538"/>
    </row>
    <row r="48" spans="1:60" x14ac:dyDescent="0.2">
      <c r="A48" s="550"/>
      <c r="B48" s="233"/>
      <c r="C48" s="235" t="s">
        <v>111</v>
      </c>
      <c r="D48" s="235" t="s">
        <v>112</v>
      </c>
      <c r="E48" s="545"/>
      <c r="F48" s="538"/>
      <c r="G48" s="538"/>
      <c r="H48" s="538"/>
      <c r="I48" s="538"/>
      <c r="J48" s="538"/>
      <c r="K48" s="538"/>
      <c r="L48" s="538"/>
      <c r="M48" s="538"/>
      <c r="N48" s="538"/>
      <c r="O48" s="538"/>
      <c r="P48" s="538"/>
      <c r="Q48" s="538"/>
      <c r="R48" s="538"/>
      <c r="S48" s="538"/>
      <c r="T48" s="538"/>
      <c r="U48" s="538"/>
      <c r="V48" s="538"/>
      <c r="W48" s="538"/>
      <c r="X48" s="538"/>
      <c r="Y48" s="538"/>
      <c r="Z48" s="538"/>
      <c r="AA48" s="538"/>
      <c r="AB48" s="538"/>
      <c r="AC48" s="538"/>
      <c r="AD48" s="538"/>
      <c r="AE48" s="538"/>
      <c r="AF48" s="538"/>
      <c r="AG48" s="538"/>
      <c r="AH48" s="538"/>
      <c r="AI48" s="538"/>
      <c r="AJ48" s="538"/>
      <c r="AK48" s="538"/>
      <c r="AL48" s="538"/>
      <c r="AM48" s="538"/>
      <c r="AN48" s="538"/>
      <c r="AO48" s="538"/>
      <c r="AP48" s="538"/>
      <c r="AQ48" s="538"/>
      <c r="AR48" s="538"/>
      <c r="AS48" s="538"/>
      <c r="AT48" s="538"/>
      <c r="AU48" s="538"/>
      <c r="AV48" s="538"/>
      <c r="AW48" s="538"/>
      <c r="AX48" s="538"/>
      <c r="AY48" s="538"/>
      <c r="AZ48" s="538"/>
      <c r="BA48" s="538"/>
      <c r="BB48" s="538"/>
      <c r="BC48" s="538"/>
      <c r="BD48" s="538"/>
      <c r="BE48" s="538"/>
      <c r="BF48" s="538"/>
      <c r="BG48" s="538"/>
      <c r="BH48" s="538"/>
    </row>
    <row r="49" spans="1:60" x14ac:dyDescent="0.2">
      <c r="A49" s="551"/>
      <c r="B49" s="234" t="s">
        <v>113</v>
      </c>
      <c r="C49" s="236" t="s">
        <v>114</v>
      </c>
      <c r="D49" s="236"/>
      <c r="E49" s="545"/>
      <c r="F49" s="538"/>
      <c r="G49" s="538"/>
      <c r="H49" s="538"/>
      <c r="I49" s="538"/>
      <c r="J49" s="538"/>
      <c r="K49" s="538"/>
      <c r="L49" s="538"/>
      <c r="M49" s="538"/>
      <c r="N49" s="538"/>
      <c r="O49" s="538"/>
      <c r="P49" s="538"/>
      <c r="Q49" s="538"/>
      <c r="R49" s="538"/>
      <c r="S49" s="538"/>
      <c r="T49" s="538"/>
      <c r="U49" s="538"/>
      <c r="V49" s="538"/>
      <c r="W49" s="538"/>
      <c r="X49" s="538"/>
      <c r="Y49" s="538"/>
      <c r="Z49" s="538"/>
      <c r="AA49" s="538"/>
      <c r="AB49" s="538"/>
      <c r="AC49" s="538"/>
      <c r="AD49" s="538"/>
      <c r="AE49" s="538"/>
      <c r="AF49" s="538"/>
      <c r="AG49" s="538"/>
      <c r="AH49" s="538"/>
      <c r="AI49" s="538"/>
      <c r="AJ49" s="538"/>
      <c r="AK49" s="538"/>
      <c r="AL49" s="538"/>
      <c r="AM49" s="538"/>
      <c r="AN49" s="538"/>
      <c r="AO49" s="538"/>
      <c r="AP49" s="538"/>
      <c r="AQ49" s="538"/>
      <c r="AR49" s="538"/>
      <c r="AS49" s="538"/>
      <c r="AT49" s="538"/>
      <c r="AU49" s="538"/>
      <c r="AV49" s="538"/>
      <c r="AW49" s="538"/>
      <c r="AX49" s="538"/>
      <c r="AY49" s="538"/>
      <c r="AZ49" s="538"/>
      <c r="BA49" s="538"/>
      <c r="BB49" s="538"/>
      <c r="BC49" s="538"/>
      <c r="BD49" s="538"/>
      <c r="BE49" s="538"/>
      <c r="BF49" s="538"/>
      <c r="BG49" s="538"/>
      <c r="BH49" s="538"/>
    </row>
    <row r="50" spans="1:60" x14ac:dyDescent="0.2">
      <c r="A50" s="237"/>
      <c r="B50" s="238"/>
      <c r="C50" s="238"/>
      <c r="D50" s="239"/>
      <c r="E50" s="239"/>
      <c r="F50" s="481"/>
      <c r="G50" s="481"/>
      <c r="H50" s="481"/>
      <c r="I50" s="481"/>
      <c r="J50" s="481"/>
      <c r="K50" s="481"/>
      <c r="L50" s="481"/>
      <c r="M50" s="481"/>
      <c r="N50" s="481"/>
      <c r="O50" s="481"/>
      <c r="P50" s="481"/>
      <c r="Q50" s="481"/>
      <c r="R50" s="481"/>
      <c r="S50" s="481"/>
      <c r="T50" s="481"/>
      <c r="U50" s="481"/>
      <c r="V50" s="481"/>
      <c r="W50" s="481"/>
      <c r="X50" s="481"/>
      <c r="Y50" s="481"/>
      <c r="Z50" s="481"/>
      <c r="AA50" s="481"/>
      <c r="AB50" s="481"/>
      <c r="AC50" s="481"/>
      <c r="AD50" s="481"/>
      <c r="AE50" s="481"/>
      <c r="AF50" s="481"/>
      <c r="AG50" s="481"/>
      <c r="AH50" s="481"/>
      <c r="AI50" s="481"/>
      <c r="AJ50" s="481"/>
      <c r="AK50" s="481"/>
      <c r="AL50" s="481"/>
      <c r="AM50" s="481"/>
      <c r="AN50" s="481"/>
      <c r="AO50" s="481"/>
      <c r="AP50" s="481"/>
      <c r="AQ50" s="481"/>
      <c r="AR50" s="481"/>
      <c r="AS50" s="481"/>
      <c r="AT50" s="481"/>
      <c r="AU50" s="481"/>
      <c r="AV50" s="481"/>
      <c r="AW50" s="481"/>
      <c r="AX50" s="481"/>
      <c r="AY50" s="481"/>
      <c r="AZ50" s="481"/>
      <c r="BA50" s="481"/>
      <c r="BB50" s="481"/>
      <c r="BC50" s="481"/>
      <c r="BD50" s="481"/>
      <c r="BE50" s="481"/>
      <c r="BF50" s="481"/>
      <c r="BG50" s="481"/>
      <c r="BH50" s="481"/>
    </row>
    <row r="51" spans="1:60" x14ac:dyDescent="0.2">
      <c r="A51" s="240" t="s">
        <v>115</v>
      </c>
      <c r="B51" s="240" t="s">
        <v>116</v>
      </c>
      <c r="C51" s="240" t="s">
        <v>117</v>
      </c>
      <c r="D51" s="240" t="s">
        <v>118</v>
      </c>
      <c r="E51" s="481"/>
      <c r="F51" s="481"/>
      <c r="G51" s="481"/>
      <c r="H51" s="481"/>
      <c r="I51" s="481"/>
      <c r="J51" s="481"/>
      <c r="K51" s="481"/>
      <c r="L51" s="481"/>
      <c r="M51" s="481"/>
      <c r="N51" s="481"/>
      <c r="O51" s="481"/>
      <c r="P51" s="481"/>
      <c r="Q51" s="481"/>
      <c r="R51" s="481"/>
      <c r="S51" s="481"/>
      <c r="T51" s="481"/>
      <c r="U51" s="481"/>
      <c r="V51" s="481"/>
      <c r="W51" s="481"/>
      <c r="X51" s="481"/>
      <c r="Y51" s="481"/>
      <c r="Z51" s="481"/>
      <c r="AA51" s="481"/>
      <c r="AB51" s="481"/>
      <c r="AC51" s="481"/>
      <c r="AD51" s="481"/>
      <c r="AE51" s="481"/>
      <c r="AF51" s="481"/>
      <c r="AG51" s="481"/>
      <c r="AH51" s="481"/>
      <c r="AI51" s="481"/>
      <c r="AJ51" s="481"/>
      <c r="AK51" s="481"/>
      <c r="AL51" s="481"/>
      <c r="AM51" s="481"/>
      <c r="AN51" s="481"/>
      <c r="AO51" s="481"/>
      <c r="AP51" s="481"/>
      <c r="AQ51" s="481"/>
      <c r="AR51" s="481"/>
      <c r="AS51" s="481"/>
      <c r="AT51" s="481"/>
      <c r="AU51" s="481"/>
      <c r="AV51" s="481"/>
      <c r="AW51" s="481"/>
      <c r="AX51" s="481"/>
      <c r="AY51" s="481"/>
      <c r="AZ51" s="481"/>
      <c r="BA51" s="481"/>
      <c r="BB51" s="481"/>
      <c r="BC51" s="481"/>
      <c r="BD51" s="481"/>
      <c r="BE51" s="481"/>
      <c r="BF51" s="481"/>
      <c r="BG51" s="481"/>
      <c r="BH51" s="481"/>
    </row>
    <row r="52" spans="1:60" ht="38.25" x14ac:dyDescent="0.2">
      <c r="A52" s="552" t="s">
        <v>119</v>
      </c>
      <c r="B52" s="241" t="s">
        <v>120</v>
      </c>
      <c r="C52" s="243" t="s">
        <v>121</v>
      </c>
      <c r="D52" s="243" t="s">
        <v>122</v>
      </c>
      <c r="E52" s="555"/>
      <c r="F52" s="538"/>
      <c r="G52" s="538"/>
      <c r="H52" s="538"/>
      <c r="I52" s="538"/>
      <c r="J52" s="538"/>
      <c r="K52" s="538"/>
      <c r="L52" s="538"/>
      <c r="M52" s="538"/>
      <c r="N52" s="538"/>
      <c r="O52" s="538"/>
      <c r="P52" s="538"/>
      <c r="Q52" s="538"/>
      <c r="R52" s="538"/>
      <c r="S52" s="538"/>
      <c r="T52" s="538"/>
      <c r="U52" s="538"/>
      <c r="V52" s="538"/>
      <c r="W52" s="538"/>
      <c r="X52" s="538"/>
      <c r="Y52" s="538"/>
      <c r="Z52" s="538"/>
      <c r="AA52" s="538"/>
      <c r="AB52" s="538"/>
      <c r="AC52" s="538"/>
      <c r="AD52" s="538"/>
      <c r="AE52" s="538"/>
      <c r="AF52" s="538"/>
      <c r="AG52" s="538"/>
      <c r="AH52" s="538"/>
      <c r="AI52" s="538"/>
      <c r="AJ52" s="538"/>
      <c r="AK52" s="538"/>
      <c r="AL52" s="538"/>
      <c r="AM52" s="538"/>
      <c r="AN52" s="538"/>
      <c r="AO52" s="538"/>
      <c r="AP52" s="538"/>
      <c r="AQ52" s="538"/>
      <c r="AR52" s="538"/>
      <c r="AS52" s="538"/>
      <c r="AT52" s="538"/>
      <c r="AU52" s="538"/>
      <c r="AV52" s="538"/>
      <c r="AW52" s="538"/>
      <c r="AX52" s="538"/>
      <c r="AY52" s="538"/>
      <c r="AZ52" s="538"/>
      <c r="BA52" s="538"/>
      <c r="BB52" s="538"/>
      <c r="BC52" s="538"/>
      <c r="BD52" s="538"/>
      <c r="BE52" s="538"/>
      <c r="BF52" s="538"/>
      <c r="BG52" s="538"/>
      <c r="BH52" s="538"/>
    </row>
    <row r="53" spans="1:60" ht="25.5" x14ac:dyDescent="0.2">
      <c r="A53" s="553"/>
      <c r="B53" s="242" t="s">
        <v>123</v>
      </c>
      <c r="C53" s="244" t="s">
        <v>124</v>
      </c>
      <c r="D53" s="244" t="s">
        <v>125</v>
      </c>
      <c r="E53" s="555"/>
      <c r="F53" s="538"/>
      <c r="G53" s="538"/>
      <c r="H53" s="538"/>
      <c r="I53" s="538"/>
      <c r="J53" s="538"/>
      <c r="K53" s="538"/>
      <c r="L53" s="538"/>
      <c r="M53" s="538"/>
      <c r="N53" s="538"/>
      <c r="O53" s="538"/>
      <c r="P53" s="538"/>
      <c r="Q53" s="538"/>
      <c r="R53" s="538"/>
      <c r="S53" s="538"/>
      <c r="T53" s="538"/>
      <c r="U53" s="538"/>
      <c r="V53" s="538"/>
      <c r="W53" s="538"/>
      <c r="X53" s="538"/>
      <c r="Y53" s="538"/>
      <c r="Z53" s="538"/>
      <c r="AA53" s="538"/>
      <c r="AB53" s="538"/>
      <c r="AC53" s="538"/>
      <c r="AD53" s="538"/>
      <c r="AE53" s="538"/>
      <c r="AF53" s="538"/>
      <c r="AG53" s="538"/>
      <c r="AH53" s="538"/>
      <c r="AI53" s="538"/>
      <c r="AJ53" s="538"/>
      <c r="AK53" s="538"/>
      <c r="AL53" s="538"/>
      <c r="AM53" s="538"/>
      <c r="AN53" s="538"/>
      <c r="AO53" s="538"/>
      <c r="AP53" s="538"/>
      <c r="AQ53" s="538"/>
      <c r="AR53" s="538"/>
      <c r="AS53" s="538"/>
      <c r="AT53" s="538"/>
      <c r="AU53" s="538"/>
      <c r="AV53" s="538"/>
      <c r="AW53" s="538"/>
      <c r="AX53" s="538"/>
      <c r="AY53" s="538"/>
      <c r="AZ53" s="538"/>
      <c r="BA53" s="538"/>
      <c r="BB53" s="538"/>
      <c r="BC53" s="538"/>
      <c r="BD53" s="538"/>
      <c r="BE53" s="538"/>
      <c r="BF53" s="538"/>
      <c r="BG53" s="538"/>
      <c r="BH53" s="538"/>
    </row>
    <row r="54" spans="1:60" x14ac:dyDescent="0.2">
      <c r="A54" s="553"/>
      <c r="B54" s="242" t="s">
        <v>126</v>
      </c>
      <c r="C54" s="244" t="s">
        <v>127</v>
      </c>
      <c r="D54" s="244" t="s">
        <v>128</v>
      </c>
      <c r="E54" s="555"/>
      <c r="F54" s="538"/>
      <c r="G54" s="538"/>
      <c r="H54" s="538"/>
      <c r="I54" s="538"/>
      <c r="J54" s="538"/>
      <c r="K54" s="538"/>
      <c r="L54" s="538"/>
      <c r="M54" s="538"/>
      <c r="N54" s="538"/>
      <c r="O54" s="538"/>
      <c r="P54" s="538"/>
      <c r="Q54" s="538"/>
      <c r="R54" s="538"/>
      <c r="S54" s="538"/>
      <c r="T54" s="538"/>
      <c r="U54" s="538"/>
      <c r="V54" s="538"/>
      <c r="W54" s="538"/>
      <c r="X54" s="538"/>
      <c r="Y54" s="538"/>
      <c r="Z54" s="538"/>
      <c r="AA54" s="538"/>
      <c r="AB54" s="538"/>
      <c r="AC54" s="538"/>
      <c r="AD54" s="538"/>
      <c r="AE54" s="538"/>
      <c r="AF54" s="538"/>
      <c r="AG54" s="538"/>
      <c r="AH54" s="538"/>
      <c r="AI54" s="538"/>
      <c r="AJ54" s="538"/>
      <c r="AK54" s="538"/>
      <c r="AL54" s="538"/>
      <c r="AM54" s="538"/>
      <c r="AN54" s="538"/>
      <c r="AO54" s="538"/>
      <c r="AP54" s="538"/>
      <c r="AQ54" s="538"/>
      <c r="AR54" s="538"/>
      <c r="AS54" s="538"/>
      <c r="AT54" s="538"/>
      <c r="AU54" s="538"/>
      <c r="AV54" s="538"/>
      <c r="AW54" s="538"/>
      <c r="AX54" s="538"/>
      <c r="AY54" s="538"/>
      <c r="AZ54" s="538"/>
      <c r="BA54" s="538"/>
      <c r="BB54" s="538"/>
      <c r="BC54" s="538"/>
      <c r="BD54" s="538"/>
      <c r="BE54" s="538"/>
      <c r="BF54" s="538"/>
      <c r="BG54" s="538"/>
      <c r="BH54" s="538"/>
    </row>
    <row r="55" spans="1:60" ht="25.5" x14ac:dyDescent="0.2">
      <c r="A55" s="554"/>
      <c r="B55" s="242" t="s">
        <v>129</v>
      </c>
      <c r="C55" s="244"/>
      <c r="D55" s="244"/>
      <c r="E55" s="555"/>
      <c r="F55" s="538"/>
      <c r="G55" s="538"/>
      <c r="H55" s="538"/>
      <c r="I55" s="538"/>
      <c r="J55" s="538"/>
      <c r="K55" s="538"/>
      <c r="L55" s="538"/>
      <c r="M55" s="538"/>
      <c r="N55" s="538"/>
      <c r="O55" s="538"/>
      <c r="P55" s="538"/>
      <c r="Q55" s="538"/>
      <c r="R55" s="538"/>
      <c r="S55" s="538"/>
      <c r="T55" s="538"/>
      <c r="U55" s="538"/>
      <c r="V55" s="538"/>
      <c r="W55" s="538"/>
      <c r="X55" s="538"/>
      <c r="Y55" s="538"/>
      <c r="Z55" s="538"/>
      <c r="AA55" s="538"/>
      <c r="AB55" s="538"/>
      <c r="AC55" s="538"/>
      <c r="AD55" s="538"/>
      <c r="AE55" s="538"/>
      <c r="AF55" s="538"/>
      <c r="AG55" s="538"/>
      <c r="AH55" s="538"/>
      <c r="AI55" s="538"/>
      <c r="AJ55" s="538"/>
      <c r="AK55" s="538"/>
      <c r="AL55" s="538"/>
      <c r="AM55" s="538"/>
      <c r="AN55" s="538"/>
      <c r="AO55" s="538"/>
      <c r="AP55" s="538"/>
      <c r="AQ55" s="538"/>
      <c r="AR55" s="538"/>
      <c r="AS55" s="538"/>
      <c r="AT55" s="538"/>
      <c r="AU55" s="538"/>
      <c r="AV55" s="538"/>
      <c r="AW55" s="538"/>
      <c r="AX55" s="538"/>
      <c r="AY55" s="538"/>
      <c r="AZ55" s="538"/>
      <c r="BA55" s="538"/>
      <c r="BB55" s="538"/>
      <c r="BC55" s="538"/>
      <c r="BD55" s="538"/>
      <c r="BE55" s="538"/>
      <c r="BF55" s="538"/>
      <c r="BG55" s="538"/>
      <c r="BH55" s="538"/>
    </row>
    <row r="56" spans="1:60" x14ac:dyDescent="0.2">
      <c r="A56" s="552" t="s">
        <v>130</v>
      </c>
      <c r="B56" s="245" t="s">
        <v>131</v>
      </c>
      <c r="C56" s="245" t="s">
        <v>131</v>
      </c>
      <c r="D56" s="245" t="s">
        <v>132</v>
      </c>
      <c r="E56" s="545"/>
      <c r="F56" s="538"/>
      <c r="G56" s="538"/>
      <c r="H56" s="538"/>
      <c r="I56" s="538"/>
      <c r="J56" s="538"/>
      <c r="K56" s="538"/>
      <c r="L56" s="538"/>
      <c r="M56" s="538"/>
      <c r="N56" s="538"/>
      <c r="O56" s="538"/>
      <c r="P56" s="538"/>
      <c r="Q56" s="538"/>
      <c r="R56" s="538"/>
      <c r="S56" s="538"/>
      <c r="T56" s="538"/>
      <c r="U56" s="538"/>
      <c r="V56" s="538"/>
      <c r="W56" s="538"/>
      <c r="X56" s="538"/>
      <c r="Y56" s="538"/>
      <c r="Z56" s="538"/>
      <c r="AA56" s="538"/>
      <c r="AB56" s="538"/>
      <c r="AC56" s="538"/>
      <c r="AD56" s="538"/>
      <c r="AE56" s="538"/>
      <c r="AF56" s="538"/>
      <c r="AG56" s="538"/>
      <c r="AH56" s="538"/>
      <c r="AI56" s="538"/>
      <c r="AJ56" s="538"/>
      <c r="AK56" s="538"/>
      <c r="AL56" s="538"/>
      <c r="AM56" s="538"/>
      <c r="AN56" s="538"/>
      <c r="AO56" s="538"/>
      <c r="AP56" s="538"/>
      <c r="AQ56" s="538"/>
      <c r="AR56" s="538"/>
      <c r="AS56" s="538"/>
      <c r="AT56" s="538"/>
      <c r="AU56" s="538"/>
      <c r="AV56" s="538"/>
      <c r="AW56" s="538"/>
      <c r="AX56" s="538"/>
      <c r="AY56" s="538"/>
      <c r="AZ56" s="538"/>
      <c r="BA56" s="538"/>
      <c r="BB56" s="538"/>
      <c r="BC56" s="538"/>
      <c r="BD56" s="538"/>
      <c r="BE56" s="538"/>
      <c r="BF56" s="538"/>
      <c r="BG56" s="538"/>
      <c r="BH56" s="538"/>
    </row>
    <row r="57" spans="1:60" x14ac:dyDescent="0.2">
      <c r="A57" s="553"/>
      <c r="B57" s="246" t="s">
        <v>133</v>
      </c>
      <c r="C57" s="246" t="s">
        <v>134</v>
      </c>
      <c r="D57" s="246" t="s">
        <v>132</v>
      </c>
      <c r="E57" s="545"/>
      <c r="F57" s="538"/>
      <c r="G57" s="538"/>
      <c r="H57" s="538"/>
      <c r="I57" s="538"/>
      <c r="J57" s="538"/>
      <c r="K57" s="538"/>
      <c r="L57" s="538"/>
      <c r="M57" s="538"/>
      <c r="N57" s="538"/>
      <c r="O57" s="538"/>
      <c r="P57" s="538"/>
      <c r="Q57" s="538"/>
      <c r="R57" s="538"/>
      <c r="S57" s="538"/>
      <c r="T57" s="538"/>
      <c r="U57" s="538"/>
      <c r="V57" s="538"/>
      <c r="W57" s="538"/>
      <c r="X57" s="538"/>
      <c r="Y57" s="538"/>
      <c r="Z57" s="538"/>
      <c r="AA57" s="538"/>
      <c r="AB57" s="538"/>
      <c r="AC57" s="538"/>
      <c r="AD57" s="538"/>
      <c r="AE57" s="538"/>
      <c r="AF57" s="538"/>
      <c r="AG57" s="538"/>
      <c r="AH57" s="538"/>
      <c r="AI57" s="538"/>
      <c r="AJ57" s="538"/>
      <c r="AK57" s="538"/>
      <c r="AL57" s="538"/>
      <c r="AM57" s="538"/>
      <c r="AN57" s="538"/>
      <c r="AO57" s="538"/>
      <c r="AP57" s="538"/>
      <c r="AQ57" s="538"/>
      <c r="AR57" s="538"/>
      <c r="AS57" s="538"/>
      <c r="AT57" s="538"/>
      <c r="AU57" s="538"/>
      <c r="AV57" s="538"/>
      <c r="AW57" s="538"/>
      <c r="AX57" s="538"/>
      <c r="AY57" s="538"/>
      <c r="AZ57" s="538"/>
      <c r="BA57" s="538"/>
      <c r="BB57" s="538"/>
      <c r="BC57" s="538"/>
      <c r="BD57" s="538"/>
      <c r="BE57" s="538"/>
      <c r="BF57" s="538"/>
      <c r="BG57" s="538"/>
      <c r="BH57" s="538"/>
    </row>
    <row r="58" spans="1:60" x14ac:dyDescent="0.2">
      <c r="A58" s="554"/>
      <c r="B58" s="247" t="s">
        <v>135</v>
      </c>
      <c r="C58" s="247" t="s">
        <v>136</v>
      </c>
      <c r="D58" s="247"/>
      <c r="E58" s="545"/>
      <c r="F58" s="538"/>
      <c r="G58" s="538"/>
      <c r="H58" s="538"/>
      <c r="I58" s="538"/>
      <c r="J58" s="538"/>
      <c r="K58" s="538"/>
      <c r="L58" s="538"/>
      <c r="M58" s="538"/>
      <c r="N58" s="538"/>
      <c r="O58" s="538"/>
      <c r="P58" s="538"/>
      <c r="Q58" s="538"/>
      <c r="R58" s="538"/>
      <c r="S58" s="538"/>
      <c r="T58" s="538"/>
      <c r="U58" s="538"/>
      <c r="V58" s="538"/>
      <c r="W58" s="538"/>
      <c r="X58" s="538"/>
      <c r="Y58" s="538"/>
      <c r="Z58" s="538"/>
      <c r="AA58" s="538"/>
      <c r="AB58" s="538"/>
      <c r="AC58" s="538"/>
      <c r="AD58" s="538"/>
      <c r="AE58" s="538"/>
      <c r="AF58" s="538"/>
      <c r="AG58" s="538"/>
      <c r="AH58" s="538"/>
      <c r="AI58" s="538"/>
      <c r="AJ58" s="538"/>
      <c r="AK58" s="538"/>
      <c r="AL58" s="538"/>
      <c r="AM58" s="538"/>
      <c r="AN58" s="538"/>
      <c r="AO58" s="538"/>
      <c r="AP58" s="538"/>
      <c r="AQ58" s="538"/>
      <c r="AR58" s="538"/>
      <c r="AS58" s="538"/>
      <c r="AT58" s="538"/>
      <c r="AU58" s="538"/>
      <c r="AV58" s="538"/>
      <c r="AW58" s="538"/>
      <c r="AX58" s="538"/>
      <c r="AY58" s="538"/>
      <c r="AZ58" s="538"/>
      <c r="BA58" s="538"/>
      <c r="BB58" s="538"/>
      <c r="BC58" s="538"/>
      <c r="BD58" s="538"/>
      <c r="BE58" s="538"/>
      <c r="BF58" s="538"/>
      <c r="BG58" s="538"/>
      <c r="BH58" s="538"/>
    </row>
    <row r="59" spans="1:60" x14ac:dyDescent="0.2">
      <c r="A59" s="375"/>
      <c r="B59" s="375"/>
      <c r="C59" s="375"/>
      <c r="D59" s="481"/>
      <c r="E59" s="481"/>
      <c r="F59" s="481"/>
      <c r="G59" s="481"/>
      <c r="H59" s="481"/>
      <c r="I59" s="481"/>
      <c r="J59" s="481"/>
      <c r="K59" s="481"/>
      <c r="L59" s="481"/>
      <c r="M59" s="481"/>
      <c r="N59" s="481"/>
      <c r="O59" s="481"/>
      <c r="P59" s="481"/>
      <c r="Q59" s="481"/>
      <c r="R59" s="481"/>
      <c r="S59" s="481"/>
      <c r="T59" s="481"/>
      <c r="U59" s="481"/>
      <c r="V59" s="481"/>
      <c r="W59" s="481"/>
      <c r="X59" s="481"/>
      <c r="Y59" s="481"/>
      <c r="Z59" s="481"/>
      <c r="AA59" s="481"/>
      <c r="AB59" s="481"/>
      <c r="AC59" s="481"/>
      <c r="AD59" s="481"/>
      <c r="AE59" s="481"/>
      <c r="AF59" s="481"/>
      <c r="AG59" s="481"/>
      <c r="AH59" s="481"/>
      <c r="AI59" s="481"/>
      <c r="AJ59" s="481"/>
      <c r="AK59" s="481"/>
      <c r="AL59" s="481"/>
      <c r="AM59" s="481"/>
      <c r="AN59" s="481"/>
      <c r="AO59" s="481"/>
      <c r="AP59" s="481"/>
      <c r="AQ59" s="481"/>
      <c r="AR59" s="481"/>
      <c r="AS59" s="481"/>
      <c r="AT59" s="481"/>
      <c r="AU59" s="481"/>
      <c r="AV59" s="481"/>
      <c r="AW59" s="481"/>
      <c r="AX59" s="481"/>
      <c r="AY59" s="481"/>
      <c r="AZ59" s="481"/>
      <c r="BA59" s="481"/>
      <c r="BB59" s="481"/>
      <c r="BC59" s="481"/>
      <c r="BD59" s="481"/>
      <c r="BE59" s="481"/>
      <c r="BF59" s="481"/>
      <c r="BG59" s="481"/>
      <c r="BH59" s="481"/>
    </row>
    <row r="60" spans="1:60" x14ac:dyDescent="0.2">
      <c r="A60" s="556" t="s">
        <v>137</v>
      </c>
      <c r="B60" s="487" t="s">
        <v>138</v>
      </c>
      <c r="C60" s="558" t="s">
        <v>104</v>
      </c>
      <c r="D60" s="558" t="s">
        <v>104</v>
      </c>
      <c r="E60" s="545"/>
      <c r="F60" s="538"/>
      <c r="G60" s="538"/>
      <c r="H60" s="538"/>
      <c r="I60" s="538"/>
      <c r="J60" s="538"/>
      <c r="K60" s="538"/>
      <c r="L60" s="538"/>
      <c r="M60" s="538"/>
      <c r="N60" s="538"/>
      <c r="O60" s="538"/>
      <c r="P60" s="538"/>
      <c r="Q60" s="538"/>
      <c r="R60" s="538"/>
      <c r="S60" s="538"/>
      <c r="T60" s="538"/>
      <c r="U60" s="538"/>
      <c r="V60" s="538"/>
      <c r="W60" s="538"/>
      <c r="X60" s="538"/>
      <c r="Y60" s="538"/>
      <c r="Z60" s="538"/>
      <c r="AA60" s="538"/>
      <c r="AB60" s="538"/>
      <c r="AC60" s="538"/>
      <c r="AD60" s="538"/>
      <c r="AE60" s="538"/>
      <c r="AF60" s="538"/>
      <c r="AG60" s="538"/>
      <c r="AH60" s="538"/>
      <c r="AI60" s="538"/>
      <c r="AJ60" s="538"/>
      <c r="AK60" s="538"/>
      <c r="AL60" s="538"/>
      <c r="AM60" s="538"/>
      <c r="AN60" s="538"/>
      <c r="AO60" s="538"/>
      <c r="AP60" s="538"/>
      <c r="AQ60" s="538"/>
      <c r="AR60" s="538"/>
      <c r="AS60" s="538"/>
      <c r="AT60" s="538"/>
      <c r="AU60" s="538"/>
      <c r="AV60" s="538"/>
      <c r="AW60" s="538"/>
      <c r="AX60" s="538"/>
      <c r="AY60" s="538"/>
      <c r="AZ60" s="538"/>
      <c r="BA60" s="538"/>
      <c r="BB60" s="538"/>
      <c r="BC60" s="538"/>
      <c r="BD60" s="538"/>
      <c r="BE60" s="538"/>
      <c r="BF60" s="538"/>
      <c r="BG60" s="538"/>
      <c r="BH60" s="538"/>
    </row>
    <row r="61" spans="1:60" ht="25.5" x14ac:dyDescent="0.2">
      <c r="A61" s="557"/>
      <c r="B61" s="489" t="s">
        <v>139</v>
      </c>
      <c r="C61" s="559"/>
      <c r="D61" s="559"/>
      <c r="E61" s="545"/>
      <c r="F61" s="538"/>
      <c r="G61" s="538"/>
      <c r="H61" s="538"/>
      <c r="I61" s="538"/>
      <c r="J61" s="538"/>
      <c r="K61" s="538"/>
      <c r="L61" s="538"/>
      <c r="M61" s="538"/>
      <c r="N61" s="538"/>
      <c r="O61" s="538"/>
      <c r="P61" s="538"/>
      <c r="Q61" s="538"/>
      <c r="R61" s="538"/>
      <c r="S61" s="538"/>
      <c r="T61" s="538"/>
      <c r="U61" s="538"/>
      <c r="V61" s="538"/>
      <c r="W61" s="538"/>
      <c r="X61" s="538"/>
      <c r="Y61" s="538"/>
      <c r="Z61" s="538"/>
      <c r="AA61" s="538"/>
      <c r="AB61" s="538"/>
      <c r="AC61" s="538"/>
      <c r="AD61" s="538"/>
      <c r="AE61" s="538"/>
      <c r="AF61" s="538"/>
      <c r="AG61" s="538"/>
      <c r="AH61" s="538"/>
      <c r="AI61" s="538"/>
      <c r="AJ61" s="538"/>
      <c r="AK61" s="538"/>
      <c r="AL61" s="538"/>
      <c r="AM61" s="538"/>
      <c r="AN61" s="538"/>
      <c r="AO61" s="538"/>
      <c r="AP61" s="538"/>
      <c r="AQ61" s="538"/>
      <c r="AR61" s="538"/>
      <c r="AS61" s="538"/>
      <c r="AT61" s="538"/>
      <c r="AU61" s="538"/>
      <c r="AV61" s="538"/>
      <c r="AW61" s="538"/>
      <c r="AX61" s="538"/>
      <c r="AY61" s="538"/>
      <c r="AZ61" s="538"/>
      <c r="BA61" s="538"/>
      <c r="BB61" s="538"/>
      <c r="BC61" s="538"/>
      <c r="BD61" s="538"/>
      <c r="BE61" s="538"/>
      <c r="BF61" s="538"/>
      <c r="BG61" s="538"/>
      <c r="BH61" s="538"/>
    </row>
    <row r="62" spans="1:60" x14ac:dyDescent="0.2">
      <c r="A62" s="560" t="s">
        <v>140</v>
      </c>
      <c r="B62" s="487" t="s">
        <v>141</v>
      </c>
      <c r="C62" s="487" t="s">
        <v>142</v>
      </c>
      <c r="D62" s="487" t="s">
        <v>143</v>
      </c>
      <c r="E62" s="545"/>
      <c r="F62" s="538"/>
      <c r="G62" s="538"/>
      <c r="H62" s="538"/>
      <c r="I62" s="538"/>
      <c r="J62" s="538"/>
      <c r="K62" s="538"/>
      <c r="L62" s="538"/>
      <c r="M62" s="538"/>
      <c r="N62" s="538"/>
      <c r="O62" s="538"/>
      <c r="P62" s="538"/>
      <c r="Q62" s="538"/>
      <c r="R62" s="538"/>
      <c r="S62" s="538"/>
      <c r="T62" s="538"/>
      <c r="U62" s="538"/>
      <c r="V62" s="538"/>
      <c r="W62" s="538"/>
      <c r="X62" s="538"/>
      <c r="Y62" s="538"/>
      <c r="Z62" s="538"/>
      <c r="AA62" s="538"/>
      <c r="AB62" s="538"/>
      <c r="AC62" s="538"/>
      <c r="AD62" s="538"/>
      <c r="AE62" s="538"/>
      <c r="AF62" s="538"/>
      <c r="AG62" s="538"/>
      <c r="AH62" s="538"/>
      <c r="AI62" s="538"/>
      <c r="AJ62" s="538"/>
      <c r="AK62" s="538"/>
      <c r="AL62" s="538"/>
      <c r="AM62" s="538"/>
      <c r="AN62" s="538"/>
      <c r="AO62" s="538"/>
      <c r="AP62" s="538"/>
      <c r="AQ62" s="538"/>
      <c r="AR62" s="538"/>
      <c r="AS62" s="538"/>
      <c r="AT62" s="538"/>
      <c r="AU62" s="538"/>
      <c r="AV62" s="538"/>
      <c r="AW62" s="538"/>
      <c r="AX62" s="538"/>
      <c r="AY62" s="538"/>
      <c r="AZ62" s="538"/>
      <c r="BA62" s="538"/>
      <c r="BB62" s="538"/>
      <c r="BC62" s="538"/>
      <c r="BD62" s="538"/>
      <c r="BE62" s="538"/>
      <c r="BF62" s="538"/>
      <c r="BG62" s="538"/>
      <c r="BH62" s="538"/>
    </row>
    <row r="63" spans="1:60" x14ac:dyDescent="0.2">
      <c r="A63" s="561"/>
      <c r="B63" s="488" t="s">
        <v>144</v>
      </c>
      <c r="C63" s="488" t="s">
        <v>145</v>
      </c>
      <c r="D63" s="488" t="s">
        <v>146</v>
      </c>
      <c r="E63" s="545"/>
      <c r="F63" s="538"/>
      <c r="G63" s="538"/>
      <c r="H63" s="538"/>
      <c r="I63" s="538"/>
      <c r="J63" s="538"/>
      <c r="K63" s="538"/>
      <c r="L63" s="538"/>
      <c r="M63" s="538"/>
      <c r="N63" s="538"/>
      <c r="O63" s="538"/>
      <c r="P63" s="538"/>
      <c r="Q63" s="538"/>
      <c r="R63" s="538"/>
      <c r="S63" s="538"/>
      <c r="T63" s="538"/>
      <c r="U63" s="538"/>
      <c r="V63" s="538"/>
      <c r="W63" s="538"/>
      <c r="X63" s="538"/>
      <c r="Y63" s="538"/>
      <c r="Z63" s="538"/>
      <c r="AA63" s="538"/>
      <c r="AB63" s="538"/>
      <c r="AC63" s="538"/>
      <c r="AD63" s="538"/>
      <c r="AE63" s="538"/>
      <c r="AF63" s="538"/>
      <c r="AG63" s="538"/>
      <c r="AH63" s="538"/>
      <c r="AI63" s="538"/>
      <c r="AJ63" s="538"/>
      <c r="AK63" s="538"/>
      <c r="AL63" s="538"/>
      <c r="AM63" s="538"/>
      <c r="AN63" s="538"/>
      <c r="AO63" s="538"/>
      <c r="AP63" s="538"/>
      <c r="AQ63" s="538"/>
      <c r="AR63" s="538"/>
      <c r="AS63" s="538"/>
      <c r="AT63" s="538"/>
      <c r="AU63" s="538"/>
      <c r="AV63" s="538"/>
      <c r="AW63" s="538"/>
      <c r="AX63" s="538"/>
      <c r="AY63" s="538"/>
      <c r="AZ63" s="538"/>
      <c r="BA63" s="538"/>
      <c r="BB63" s="538"/>
      <c r="BC63" s="538"/>
      <c r="BD63" s="538"/>
      <c r="BE63" s="538"/>
      <c r="BF63" s="538"/>
      <c r="BG63" s="538"/>
      <c r="BH63" s="538"/>
    </row>
    <row r="64" spans="1:60" x14ac:dyDescent="0.2">
      <c r="A64" s="562"/>
      <c r="B64" s="248" t="s">
        <v>147</v>
      </c>
      <c r="C64" s="249" t="s">
        <v>148</v>
      </c>
      <c r="D64" s="489"/>
      <c r="E64" s="545"/>
      <c r="F64" s="538"/>
      <c r="G64" s="538"/>
      <c r="H64" s="538"/>
      <c r="I64" s="538"/>
      <c r="J64" s="538"/>
      <c r="K64" s="538"/>
      <c r="L64" s="538"/>
      <c r="M64" s="538"/>
      <c r="N64" s="538"/>
      <c r="O64" s="538"/>
      <c r="P64" s="538"/>
      <c r="Q64" s="538"/>
      <c r="R64" s="538"/>
      <c r="S64" s="538"/>
      <c r="T64" s="538"/>
      <c r="U64" s="538"/>
      <c r="V64" s="538"/>
      <c r="W64" s="538"/>
      <c r="X64" s="538"/>
      <c r="Y64" s="538"/>
      <c r="Z64" s="538"/>
      <c r="AA64" s="538"/>
      <c r="AB64" s="538"/>
      <c r="AC64" s="538"/>
      <c r="AD64" s="538"/>
      <c r="AE64" s="538"/>
      <c r="AF64" s="538"/>
      <c r="AG64" s="538"/>
      <c r="AH64" s="538"/>
      <c r="AI64" s="538"/>
      <c r="AJ64" s="538"/>
      <c r="AK64" s="538"/>
      <c r="AL64" s="538"/>
      <c r="AM64" s="538"/>
      <c r="AN64" s="538"/>
      <c r="AO64" s="538"/>
      <c r="AP64" s="538"/>
      <c r="AQ64" s="538"/>
      <c r="AR64" s="538"/>
      <c r="AS64" s="538"/>
      <c r="AT64" s="538"/>
      <c r="AU64" s="538"/>
      <c r="AV64" s="538"/>
      <c r="AW64" s="538"/>
      <c r="AX64" s="538"/>
      <c r="AY64" s="538"/>
      <c r="AZ64" s="538"/>
      <c r="BA64" s="538"/>
      <c r="BB64" s="538"/>
      <c r="BC64" s="538"/>
      <c r="BD64" s="538"/>
      <c r="BE64" s="538"/>
      <c r="BF64" s="538"/>
      <c r="BG64" s="538"/>
      <c r="BH64" s="538"/>
    </row>
    <row r="65" spans="1:60" x14ac:dyDescent="0.2">
      <c r="A65" s="250" t="s">
        <v>149</v>
      </c>
      <c r="B65" s="250" t="s">
        <v>150</v>
      </c>
      <c r="C65" s="250" t="s">
        <v>151</v>
      </c>
      <c r="D65" s="250" t="s">
        <v>152</v>
      </c>
      <c r="E65" s="481"/>
      <c r="F65" s="481"/>
      <c r="G65" s="481"/>
      <c r="H65" s="481"/>
      <c r="I65" s="481"/>
      <c r="J65" s="481"/>
      <c r="K65" s="481"/>
      <c r="L65" s="481"/>
      <c r="M65" s="481"/>
      <c r="N65" s="481"/>
      <c r="O65" s="481"/>
      <c r="P65" s="481"/>
      <c r="Q65" s="481"/>
      <c r="R65" s="481"/>
      <c r="S65" s="481"/>
      <c r="T65" s="481"/>
      <c r="U65" s="481"/>
      <c r="V65" s="481"/>
      <c r="W65" s="481"/>
      <c r="X65" s="481"/>
      <c r="Y65" s="481"/>
      <c r="Z65" s="481"/>
      <c r="AA65" s="481"/>
      <c r="AB65" s="481"/>
      <c r="AC65" s="481"/>
      <c r="AD65" s="481"/>
      <c r="AE65" s="481"/>
      <c r="AF65" s="481"/>
      <c r="AG65" s="481"/>
      <c r="AH65" s="481"/>
      <c r="AI65" s="481"/>
      <c r="AJ65" s="481"/>
      <c r="AK65" s="481"/>
      <c r="AL65" s="481"/>
      <c r="AM65" s="481"/>
      <c r="AN65" s="481"/>
      <c r="AO65" s="481"/>
      <c r="AP65" s="481"/>
      <c r="AQ65" s="481"/>
      <c r="AR65" s="481"/>
      <c r="AS65" s="481"/>
      <c r="AT65" s="481"/>
      <c r="AU65" s="481"/>
      <c r="AV65" s="481"/>
      <c r="AW65" s="481"/>
      <c r="AX65" s="481"/>
      <c r="AY65" s="481"/>
      <c r="AZ65" s="481"/>
      <c r="BA65" s="481"/>
      <c r="BB65" s="481"/>
      <c r="BC65" s="481"/>
      <c r="BD65" s="481"/>
      <c r="BE65" s="481"/>
      <c r="BF65" s="481"/>
      <c r="BG65" s="481"/>
      <c r="BH65" s="481"/>
    </row>
  </sheetData>
  <mergeCells count="462">
    <mergeCell ref="BG62:BG64"/>
    <mergeCell ref="BH62:BH64"/>
    <mergeCell ref="BB62:BB64"/>
    <mergeCell ref="BC62:BC64"/>
    <mergeCell ref="BD62:BD64"/>
    <mergeCell ref="BE62:BE64"/>
    <mergeCell ref="BF62:BF64"/>
    <mergeCell ref="AW62:AW64"/>
    <mergeCell ref="AX62:AX64"/>
    <mergeCell ref="AY62:AY64"/>
    <mergeCell ref="AZ62:AZ64"/>
    <mergeCell ref="BA62:BA64"/>
    <mergeCell ref="AR62:AR64"/>
    <mergeCell ref="AS62:AS64"/>
    <mergeCell ref="AT62:AT64"/>
    <mergeCell ref="AU62:AU64"/>
    <mergeCell ref="AV62:AV64"/>
    <mergeCell ref="AM62:AM64"/>
    <mergeCell ref="AN62:AN64"/>
    <mergeCell ref="AO62:AO64"/>
    <mergeCell ref="AP62:AP64"/>
    <mergeCell ref="AQ62:AQ64"/>
    <mergeCell ref="AH62:AH64"/>
    <mergeCell ref="AI62:AI64"/>
    <mergeCell ref="AJ62:AJ64"/>
    <mergeCell ref="AK62:AK64"/>
    <mergeCell ref="AL62:AL64"/>
    <mergeCell ref="AC62:AC64"/>
    <mergeCell ref="AD62:AD64"/>
    <mergeCell ref="AE62:AE64"/>
    <mergeCell ref="AF62:AF64"/>
    <mergeCell ref="AG62:AG64"/>
    <mergeCell ref="X62:X64"/>
    <mergeCell ref="Y62:Y64"/>
    <mergeCell ref="Z62:Z64"/>
    <mergeCell ref="AA62:AA64"/>
    <mergeCell ref="AB62:AB64"/>
    <mergeCell ref="S62:S64"/>
    <mergeCell ref="T62:T64"/>
    <mergeCell ref="U62:U64"/>
    <mergeCell ref="V62:V64"/>
    <mergeCell ref="W62:W64"/>
    <mergeCell ref="BH60:BH61"/>
    <mergeCell ref="A62:A64"/>
    <mergeCell ref="E62:E64"/>
    <mergeCell ref="F62:F64"/>
    <mergeCell ref="G62:G64"/>
    <mergeCell ref="H62:H64"/>
    <mergeCell ref="I62:I64"/>
    <mergeCell ref="J62:J64"/>
    <mergeCell ref="K62:K64"/>
    <mergeCell ref="L62:L64"/>
    <mergeCell ref="M62:M64"/>
    <mergeCell ref="N62:N64"/>
    <mergeCell ref="O62:O64"/>
    <mergeCell ref="P62:P64"/>
    <mergeCell ref="Q62:Q64"/>
    <mergeCell ref="R62:R64"/>
    <mergeCell ref="BC60:BC61"/>
    <mergeCell ref="BD60:BD61"/>
    <mergeCell ref="BE60:BE61"/>
    <mergeCell ref="BF60:BF61"/>
    <mergeCell ref="BG60:BG61"/>
    <mergeCell ref="AX60:AX61"/>
    <mergeCell ref="AY60:AY61"/>
    <mergeCell ref="AZ60:AZ61"/>
    <mergeCell ref="BA60:BA61"/>
    <mergeCell ref="BB60:BB61"/>
    <mergeCell ref="AS60:AS61"/>
    <mergeCell ref="AT60:AT61"/>
    <mergeCell ref="AU60:AU61"/>
    <mergeCell ref="AV60:AV61"/>
    <mergeCell ref="AW60:AW61"/>
    <mergeCell ref="AN60:AN61"/>
    <mergeCell ref="AO60:AO61"/>
    <mergeCell ref="AP60:AP61"/>
    <mergeCell ref="AQ60:AQ61"/>
    <mergeCell ref="AR60:AR61"/>
    <mergeCell ref="AI60:AI61"/>
    <mergeCell ref="AJ60:AJ61"/>
    <mergeCell ref="AK60:AK61"/>
    <mergeCell ref="AL60:AL61"/>
    <mergeCell ref="AM60:AM61"/>
    <mergeCell ref="AD60:AD61"/>
    <mergeCell ref="AE60:AE61"/>
    <mergeCell ref="AF60:AF61"/>
    <mergeCell ref="AG60:AG61"/>
    <mergeCell ref="AH60:AH61"/>
    <mergeCell ref="Y60:Y61"/>
    <mergeCell ref="Z60:Z61"/>
    <mergeCell ref="AA60:AA61"/>
    <mergeCell ref="AB60:AB61"/>
    <mergeCell ref="AC60:AC61"/>
    <mergeCell ref="T60:T61"/>
    <mergeCell ref="U60:U61"/>
    <mergeCell ref="V60:V61"/>
    <mergeCell ref="W60:W61"/>
    <mergeCell ref="X60:X61"/>
    <mergeCell ref="O60:O61"/>
    <mergeCell ref="P60:P61"/>
    <mergeCell ref="Q60:Q61"/>
    <mergeCell ref="R60:R61"/>
    <mergeCell ref="S60:S61"/>
    <mergeCell ref="BF56:BF58"/>
    <mergeCell ref="BG56:BG58"/>
    <mergeCell ref="BH56:BH58"/>
    <mergeCell ref="A60:A61"/>
    <mergeCell ref="C60:C61"/>
    <mergeCell ref="D60:D61"/>
    <mergeCell ref="E60:E61"/>
    <mergeCell ref="F60:F61"/>
    <mergeCell ref="G60:G61"/>
    <mergeCell ref="H60:H61"/>
    <mergeCell ref="I60:I61"/>
    <mergeCell ref="J60:J61"/>
    <mergeCell ref="K60:K61"/>
    <mergeCell ref="L60:L61"/>
    <mergeCell ref="M60:M61"/>
    <mergeCell ref="N60:N61"/>
    <mergeCell ref="BA56:BA58"/>
    <mergeCell ref="BB56:BB58"/>
    <mergeCell ref="BC56:BC58"/>
    <mergeCell ref="BD56:BD58"/>
    <mergeCell ref="BE56:BE58"/>
    <mergeCell ref="AV56:AV58"/>
    <mergeCell ref="AW56:AW58"/>
    <mergeCell ref="AX56:AX58"/>
    <mergeCell ref="AY56:AY58"/>
    <mergeCell ref="AZ56:AZ58"/>
    <mergeCell ref="AQ56:AQ58"/>
    <mergeCell ref="AR56:AR58"/>
    <mergeCell ref="AS56:AS58"/>
    <mergeCell ref="AT56:AT58"/>
    <mergeCell ref="AU56:AU58"/>
    <mergeCell ref="AL56:AL58"/>
    <mergeCell ref="AM56:AM58"/>
    <mergeCell ref="AN56:AN58"/>
    <mergeCell ref="AO56:AO58"/>
    <mergeCell ref="AP56:AP58"/>
    <mergeCell ref="AG56:AG58"/>
    <mergeCell ref="AH56:AH58"/>
    <mergeCell ref="AI56:AI58"/>
    <mergeCell ref="AJ56:AJ58"/>
    <mergeCell ref="AK56:AK58"/>
    <mergeCell ref="AB56:AB58"/>
    <mergeCell ref="AC56:AC58"/>
    <mergeCell ref="AD56:AD58"/>
    <mergeCell ref="AE56:AE58"/>
    <mergeCell ref="AF56:AF58"/>
    <mergeCell ref="W56:W58"/>
    <mergeCell ref="X56:X58"/>
    <mergeCell ref="Y56:Y58"/>
    <mergeCell ref="Z56:Z58"/>
    <mergeCell ref="AA56:AA58"/>
    <mergeCell ref="R56:R58"/>
    <mergeCell ref="S56:S58"/>
    <mergeCell ref="T56:T58"/>
    <mergeCell ref="U56:U58"/>
    <mergeCell ref="V56:V58"/>
    <mergeCell ref="BG52:BG55"/>
    <mergeCell ref="BH52:BH55"/>
    <mergeCell ref="A56:A58"/>
    <mergeCell ref="E56:E58"/>
    <mergeCell ref="F56:F58"/>
    <mergeCell ref="G56:G58"/>
    <mergeCell ref="H56:H58"/>
    <mergeCell ref="I56:I58"/>
    <mergeCell ref="J56:J58"/>
    <mergeCell ref="K56:K58"/>
    <mergeCell ref="L56:L58"/>
    <mergeCell ref="M56:M58"/>
    <mergeCell ref="N56:N58"/>
    <mergeCell ref="O56:O58"/>
    <mergeCell ref="P56:P58"/>
    <mergeCell ref="Q56:Q58"/>
    <mergeCell ref="BB52:BB55"/>
    <mergeCell ref="BC52:BC55"/>
    <mergeCell ref="BD52:BD55"/>
    <mergeCell ref="BE52:BE55"/>
    <mergeCell ref="BF52:BF55"/>
    <mergeCell ref="AW52:AW55"/>
    <mergeCell ref="AX52:AX55"/>
    <mergeCell ref="AY52:AY55"/>
    <mergeCell ref="AZ52:AZ55"/>
    <mergeCell ref="BA52:BA55"/>
    <mergeCell ref="AR52:AR55"/>
    <mergeCell ref="AS52:AS55"/>
    <mergeCell ref="AT52:AT55"/>
    <mergeCell ref="AU52:AU55"/>
    <mergeCell ref="AV52:AV55"/>
    <mergeCell ref="AM52:AM55"/>
    <mergeCell ref="AN52:AN55"/>
    <mergeCell ref="AO52:AO55"/>
    <mergeCell ref="AP52:AP55"/>
    <mergeCell ref="AQ52:AQ55"/>
    <mergeCell ref="AH52:AH55"/>
    <mergeCell ref="AI52:AI55"/>
    <mergeCell ref="AJ52:AJ55"/>
    <mergeCell ref="AK52:AK55"/>
    <mergeCell ref="AL52:AL55"/>
    <mergeCell ref="AC52:AC55"/>
    <mergeCell ref="AD52:AD55"/>
    <mergeCell ref="AE52:AE55"/>
    <mergeCell ref="AF52:AF55"/>
    <mergeCell ref="AG52:AG55"/>
    <mergeCell ref="X52:X55"/>
    <mergeCell ref="Y52:Y55"/>
    <mergeCell ref="Z52:Z55"/>
    <mergeCell ref="AA52:AA55"/>
    <mergeCell ref="AB52:AB55"/>
    <mergeCell ref="S52:S55"/>
    <mergeCell ref="T52:T55"/>
    <mergeCell ref="U52:U55"/>
    <mergeCell ref="V52:V55"/>
    <mergeCell ref="W52:W55"/>
    <mergeCell ref="N52:N55"/>
    <mergeCell ref="O52:O55"/>
    <mergeCell ref="P52:P55"/>
    <mergeCell ref="Q52:Q55"/>
    <mergeCell ref="R52:R55"/>
    <mergeCell ref="I52:I55"/>
    <mergeCell ref="J52:J55"/>
    <mergeCell ref="K52:K55"/>
    <mergeCell ref="L52:L55"/>
    <mergeCell ref="M52:M55"/>
    <mergeCell ref="A52:A55"/>
    <mergeCell ref="E52:E55"/>
    <mergeCell ref="F52:F55"/>
    <mergeCell ref="G52:G55"/>
    <mergeCell ref="H52:H55"/>
    <mergeCell ref="BD47:BD49"/>
    <mergeCell ref="BE47:BE49"/>
    <mergeCell ref="BF47:BF49"/>
    <mergeCell ref="BG47:BG49"/>
    <mergeCell ref="BH47:BH49"/>
    <mergeCell ref="AY47:AY49"/>
    <mergeCell ref="AZ47:AZ49"/>
    <mergeCell ref="BA47:BA49"/>
    <mergeCell ref="BB47:BB49"/>
    <mergeCell ref="BC47:BC49"/>
    <mergeCell ref="AT47:AT49"/>
    <mergeCell ref="AU47:AU49"/>
    <mergeCell ref="AV47:AV49"/>
    <mergeCell ref="AW47:AW49"/>
    <mergeCell ref="AX47:AX49"/>
    <mergeCell ref="AO47:AO49"/>
    <mergeCell ref="AP47:AP49"/>
    <mergeCell ref="AQ47:AQ49"/>
    <mergeCell ref="AR47:AR49"/>
    <mergeCell ref="AS47:AS49"/>
    <mergeCell ref="AJ47:AJ49"/>
    <mergeCell ref="AK47:AK49"/>
    <mergeCell ref="AL47:AL49"/>
    <mergeCell ref="AM47:AM49"/>
    <mergeCell ref="AN47:AN49"/>
    <mergeCell ref="AE47:AE49"/>
    <mergeCell ref="AF47:AF49"/>
    <mergeCell ref="AG47:AG49"/>
    <mergeCell ref="AH47:AH49"/>
    <mergeCell ref="AI47:AI49"/>
    <mergeCell ref="Z47:Z49"/>
    <mergeCell ref="AA47:AA49"/>
    <mergeCell ref="AB47:AB49"/>
    <mergeCell ref="AC47:AC49"/>
    <mergeCell ref="AD47:AD49"/>
    <mergeCell ref="U47:U49"/>
    <mergeCell ref="V47:V49"/>
    <mergeCell ref="W47:W49"/>
    <mergeCell ref="X47:X49"/>
    <mergeCell ref="Y47:Y49"/>
    <mergeCell ref="P47:P49"/>
    <mergeCell ref="Q47:Q49"/>
    <mergeCell ref="R47:R49"/>
    <mergeCell ref="S47:S49"/>
    <mergeCell ref="T47:T49"/>
    <mergeCell ref="BE44:BE46"/>
    <mergeCell ref="BF44:BF46"/>
    <mergeCell ref="BG44:BG46"/>
    <mergeCell ref="BH44:BH46"/>
    <mergeCell ref="AG44:AG46"/>
    <mergeCell ref="AH44:AH46"/>
    <mergeCell ref="AI44:AI46"/>
    <mergeCell ref="AJ44:AJ46"/>
    <mergeCell ref="AA44:AA46"/>
    <mergeCell ref="AB44:AB46"/>
    <mergeCell ref="AC44:AC46"/>
    <mergeCell ref="AD44:AD46"/>
    <mergeCell ref="AE44:AE46"/>
    <mergeCell ref="V44:V46"/>
    <mergeCell ref="W44:W46"/>
    <mergeCell ref="X44:X46"/>
    <mergeCell ref="Y44:Y46"/>
    <mergeCell ref="Z44:Z46"/>
    <mergeCell ref="Q44:Q46"/>
    <mergeCell ref="A47:A49"/>
    <mergeCell ref="E47:E49"/>
    <mergeCell ref="F47:F49"/>
    <mergeCell ref="G47:G49"/>
    <mergeCell ref="H47:H49"/>
    <mergeCell ref="I47:I49"/>
    <mergeCell ref="J47:J49"/>
    <mergeCell ref="K47:K49"/>
    <mergeCell ref="L47:L49"/>
    <mergeCell ref="M47:M49"/>
    <mergeCell ref="N47:N49"/>
    <mergeCell ref="O47:O49"/>
    <mergeCell ref="AZ44:AZ46"/>
    <mergeCell ref="BA44:BA46"/>
    <mergeCell ref="BB44:BB46"/>
    <mergeCell ref="BC44:BC46"/>
    <mergeCell ref="BD44:BD46"/>
    <mergeCell ref="AU44:AU46"/>
    <mergeCell ref="AV44:AV46"/>
    <mergeCell ref="AW44:AW46"/>
    <mergeCell ref="AX44:AX46"/>
    <mergeCell ref="AY44:AY46"/>
    <mergeCell ref="AP44:AP46"/>
    <mergeCell ref="AQ44:AQ46"/>
    <mergeCell ref="AR44:AR46"/>
    <mergeCell ref="AS44:AS46"/>
    <mergeCell ref="AT44:AT46"/>
    <mergeCell ref="AK44:AK46"/>
    <mergeCell ref="AL44:AL46"/>
    <mergeCell ref="AM44:AM46"/>
    <mergeCell ref="AN44:AN46"/>
    <mergeCell ref="AO44:AO46"/>
    <mergeCell ref="AF44:AF46"/>
    <mergeCell ref="R44:R46"/>
    <mergeCell ref="S44:S46"/>
    <mergeCell ref="T44:T46"/>
    <mergeCell ref="U44:U46"/>
    <mergeCell ref="L44:L46"/>
    <mergeCell ref="M44:M46"/>
    <mergeCell ref="N44:N46"/>
    <mergeCell ref="O44:O46"/>
    <mergeCell ref="P44:P46"/>
    <mergeCell ref="G44:G46"/>
    <mergeCell ref="H44:H46"/>
    <mergeCell ref="I44:I46"/>
    <mergeCell ref="J44:J46"/>
    <mergeCell ref="K44:K46"/>
    <mergeCell ref="A44:A46"/>
    <mergeCell ref="C44:C46"/>
    <mergeCell ref="D44:D46"/>
    <mergeCell ref="E44:E46"/>
    <mergeCell ref="F44:F46"/>
    <mergeCell ref="BD41:BD43"/>
    <mergeCell ref="BE41:BE43"/>
    <mergeCell ref="BF41:BF43"/>
    <mergeCell ref="BG41:BG43"/>
    <mergeCell ref="BH41:BH43"/>
    <mergeCell ref="AY41:AY43"/>
    <mergeCell ref="AZ41:AZ43"/>
    <mergeCell ref="BA41:BA43"/>
    <mergeCell ref="BB41:BB43"/>
    <mergeCell ref="BC41:BC43"/>
    <mergeCell ref="AT41:AT43"/>
    <mergeCell ref="AU41:AU43"/>
    <mergeCell ref="AV41:AV43"/>
    <mergeCell ref="AW41:AW43"/>
    <mergeCell ref="AX41:AX43"/>
    <mergeCell ref="AO41:AO43"/>
    <mergeCell ref="AP41:AP43"/>
    <mergeCell ref="AQ41:AQ43"/>
    <mergeCell ref="AR41:AR43"/>
    <mergeCell ref="AS41:AS43"/>
    <mergeCell ref="AJ41:AJ43"/>
    <mergeCell ref="AK41:AK43"/>
    <mergeCell ref="AL41:AL43"/>
    <mergeCell ref="AM41:AM43"/>
    <mergeCell ref="AN41:AN43"/>
    <mergeCell ref="AE41:AE43"/>
    <mergeCell ref="AF41:AF43"/>
    <mergeCell ref="AG41:AG43"/>
    <mergeCell ref="AH41:AH43"/>
    <mergeCell ref="AI41:AI43"/>
    <mergeCell ref="Z41:Z43"/>
    <mergeCell ref="AA41:AA43"/>
    <mergeCell ref="AB41:AB43"/>
    <mergeCell ref="AC41:AC43"/>
    <mergeCell ref="AD41:AD43"/>
    <mergeCell ref="U41:U43"/>
    <mergeCell ref="V41:V43"/>
    <mergeCell ref="W41:W43"/>
    <mergeCell ref="X41:X43"/>
    <mergeCell ref="Y41:Y43"/>
    <mergeCell ref="P41:P43"/>
    <mergeCell ref="Q41:Q43"/>
    <mergeCell ref="R41:R43"/>
    <mergeCell ref="S41:S43"/>
    <mergeCell ref="T41:T43"/>
    <mergeCell ref="BE38:BE40"/>
    <mergeCell ref="BF38:BF40"/>
    <mergeCell ref="BG38:BG40"/>
    <mergeCell ref="BH38:BH40"/>
    <mergeCell ref="AG38:AG40"/>
    <mergeCell ref="AH38:AH40"/>
    <mergeCell ref="AI38:AI40"/>
    <mergeCell ref="AJ38:AJ40"/>
    <mergeCell ref="AA38:AA40"/>
    <mergeCell ref="AB38:AB40"/>
    <mergeCell ref="AC38:AC40"/>
    <mergeCell ref="AD38:AD40"/>
    <mergeCell ref="AE38:AE40"/>
    <mergeCell ref="V38:V40"/>
    <mergeCell ref="W38:W40"/>
    <mergeCell ref="X38:X40"/>
    <mergeCell ref="Y38:Y40"/>
    <mergeCell ref="Z38:Z40"/>
    <mergeCell ref="Q38:Q40"/>
    <mergeCell ref="A41:A43"/>
    <mergeCell ref="E41:E43"/>
    <mergeCell ref="F41:F43"/>
    <mergeCell ref="G41:G43"/>
    <mergeCell ref="H41:H43"/>
    <mergeCell ref="I41:I43"/>
    <mergeCell ref="J41:J43"/>
    <mergeCell ref="K41:K43"/>
    <mergeCell ref="L41:L43"/>
    <mergeCell ref="M41:M43"/>
    <mergeCell ref="N41:N43"/>
    <mergeCell ref="O41:O43"/>
    <mergeCell ref="AZ38:AZ40"/>
    <mergeCell ref="BA38:BA40"/>
    <mergeCell ref="BB38:BB40"/>
    <mergeCell ref="BC38:BC40"/>
    <mergeCell ref="BD38:BD40"/>
    <mergeCell ref="AU38:AU40"/>
    <mergeCell ref="AV38:AV40"/>
    <mergeCell ref="AW38:AW40"/>
    <mergeCell ref="AX38:AX40"/>
    <mergeCell ref="AY38:AY40"/>
    <mergeCell ref="AP38:AP40"/>
    <mergeCell ref="AQ38:AQ40"/>
    <mergeCell ref="AR38:AR40"/>
    <mergeCell ref="AS38:AS40"/>
    <mergeCell ref="AT38:AT40"/>
    <mergeCell ref="AK38:AK40"/>
    <mergeCell ref="AL38:AL40"/>
    <mergeCell ref="AM38:AM40"/>
    <mergeCell ref="AN38:AN40"/>
    <mergeCell ref="AO38:AO40"/>
    <mergeCell ref="AF38:AF40"/>
    <mergeCell ref="R38:R40"/>
    <mergeCell ref="S38:S40"/>
    <mergeCell ref="T38:T40"/>
    <mergeCell ref="U38:U40"/>
    <mergeCell ref="L38:L40"/>
    <mergeCell ref="M38:M40"/>
    <mergeCell ref="N38:N40"/>
    <mergeCell ref="O38:O40"/>
    <mergeCell ref="P38:P40"/>
    <mergeCell ref="G38:G40"/>
    <mergeCell ref="H38:H40"/>
    <mergeCell ref="I38:I40"/>
    <mergeCell ref="J38:J40"/>
    <mergeCell ref="K38:K40"/>
    <mergeCell ref="A1:C1"/>
    <mergeCell ref="A2:C2"/>
    <mergeCell ref="A38:A40"/>
    <mergeCell ref="E38:E40"/>
    <mergeCell ref="F38:F40"/>
  </mergeCells>
  <hyperlinks>
    <hyperlink ref="D6" r:id="rId1" display="https://2050partners.sharepoint.com/:w:/r/sites/CalBEMCollaborativeEfforts/Shared Documents/Working Group 1 - Streamlined Process/D - Complexity of Compliance/Prototype Unification/Project Development/Phase 2 (Collect Inputs) Development/NonRes-Vintage bins-Draft Report-30Nov2023-Final.docx?d=w8560be34ea9744e086bccf7767b0a3cf&amp;csf=1&amp;web=1&amp;e=tpxacv" xr:uid="{9B264631-F0F0-4192-B5C5-F574CB46B1DA}"/>
  </hyperlinks>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9DC9C1-ABE9-4C74-8C0A-F769CBEC5074}">
  <sheetPr codeName="Sheet5"/>
  <dimension ref="A1:Q19"/>
  <sheetViews>
    <sheetView zoomScale="85" zoomScaleNormal="85" workbookViewId="0">
      <selection sqref="A1:K1"/>
    </sheetView>
  </sheetViews>
  <sheetFormatPr defaultColWidth="8.7109375" defaultRowHeight="12.75" x14ac:dyDescent="0.2"/>
  <cols>
    <col min="1" max="1" width="37.28515625" style="4" customWidth="1"/>
    <col min="2" max="2" width="30.5703125" style="4" customWidth="1"/>
    <col min="3" max="4" width="25" style="4" customWidth="1"/>
    <col min="5" max="5" width="17.28515625" style="4" customWidth="1"/>
    <col min="6" max="6" width="14.7109375" style="4" customWidth="1"/>
    <col min="7" max="7" width="12.7109375" style="4" customWidth="1"/>
    <col min="8" max="8" width="12" style="4" bestFit="1" customWidth="1"/>
    <col min="9" max="10" width="11.28515625" style="4" customWidth="1"/>
    <col min="11" max="12" width="32.5703125" style="4" customWidth="1"/>
    <col min="13" max="13" width="10.140625" style="4" customWidth="1"/>
    <col min="14" max="14" width="12.7109375" style="4" customWidth="1"/>
    <col min="15" max="15" width="25.28515625" style="4" customWidth="1"/>
    <col min="16" max="16" width="22.28515625" style="4" bestFit="1" customWidth="1"/>
    <col min="17" max="17" width="18.28515625" style="4" customWidth="1"/>
    <col min="18" max="18" width="25.7109375" style="4" customWidth="1"/>
    <col min="19" max="19" width="22.7109375" style="4" customWidth="1"/>
    <col min="20" max="20" width="16.28515625" style="4" customWidth="1"/>
    <col min="21" max="21" width="6.7109375" style="4" bestFit="1" customWidth="1"/>
    <col min="22" max="26" width="17.28515625" style="4" customWidth="1"/>
    <col min="27" max="16384" width="8.7109375" style="4"/>
  </cols>
  <sheetData>
    <row r="1" spans="1:17" ht="25.9" customHeight="1" x14ac:dyDescent="0.2">
      <c r="A1" s="563" t="str">
        <f>"Proposed Layout - "&amp;Prototype!A2</f>
        <v>Proposed Layout - Warehouse</v>
      </c>
      <c r="B1" s="563"/>
      <c r="C1" s="563"/>
      <c r="D1" s="563"/>
      <c r="E1" s="563"/>
      <c r="F1" s="563"/>
      <c r="G1" s="563"/>
      <c r="H1" s="563"/>
      <c r="I1" s="563"/>
      <c r="J1" s="563"/>
      <c r="K1" s="563"/>
      <c r="L1" s="486"/>
    </row>
    <row r="2" spans="1:17" ht="39.6" customHeight="1" x14ac:dyDescent="0.2">
      <c r="A2" s="19" t="s">
        <v>153</v>
      </c>
      <c r="B2" s="19" t="s">
        <v>154</v>
      </c>
      <c r="C2" s="19" t="s">
        <v>155</v>
      </c>
      <c r="D2" s="385" t="s">
        <v>156</v>
      </c>
      <c r="E2" s="32" t="s">
        <v>157</v>
      </c>
      <c r="F2" s="33" t="s">
        <v>158</v>
      </c>
      <c r="G2" s="511" t="s">
        <v>159</v>
      </c>
      <c r="H2" s="32" t="s">
        <v>160</v>
      </c>
      <c r="I2" s="32" t="s">
        <v>161</v>
      </c>
      <c r="J2" s="331" t="s">
        <v>162</v>
      </c>
      <c r="K2" s="32" t="s">
        <v>163</v>
      </c>
      <c r="L2" s="32" t="s">
        <v>156</v>
      </c>
      <c r="N2" s="564"/>
      <c r="O2" s="565"/>
      <c r="P2" s="44"/>
      <c r="Q2" s="44"/>
    </row>
    <row r="3" spans="1:17" ht="17.649999999999999" customHeight="1" x14ac:dyDescent="0.2">
      <c r="A3" s="371" t="s">
        <v>164</v>
      </c>
      <c r="B3" s="92" t="s">
        <v>165</v>
      </c>
      <c r="C3" s="271" t="s">
        <v>166</v>
      </c>
      <c r="D3" s="386" t="s">
        <v>164</v>
      </c>
      <c r="E3" s="87" t="s">
        <v>167</v>
      </c>
      <c r="F3" s="349">
        <f>G3/$G$6</f>
        <v>4.8991229325835724E-2</v>
      </c>
      <c r="G3" s="88">
        <v>2549.75</v>
      </c>
      <c r="H3" s="88">
        <f>G3*14</f>
        <v>35696.5</v>
      </c>
      <c r="I3" s="87">
        <v>1</v>
      </c>
      <c r="J3" s="20">
        <f>K3*G3/1000</f>
        <v>12.748749999999999</v>
      </c>
      <c r="K3" s="21">
        <v>5</v>
      </c>
      <c r="L3" s="532" t="s">
        <v>41</v>
      </c>
      <c r="N3" s="566"/>
      <c r="O3" s="567"/>
      <c r="P3" s="44"/>
      <c r="Q3" s="44"/>
    </row>
    <row r="4" spans="1:17" ht="17.649999999999999" customHeight="1" x14ac:dyDescent="0.2">
      <c r="A4" s="371" t="s">
        <v>168</v>
      </c>
      <c r="B4" s="92" t="s">
        <v>169</v>
      </c>
      <c r="C4" s="271" t="s">
        <v>170</v>
      </c>
      <c r="D4" s="386" t="s">
        <v>168</v>
      </c>
      <c r="E4" s="87" t="s">
        <v>167</v>
      </c>
      <c r="F4" s="349">
        <f t="shared" ref="F4:F5" si="0">G4/$G$6</f>
        <v>0.28818409750172108</v>
      </c>
      <c r="G4" s="88">
        <f>12448.8+2549.75</f>
        <v>14998.55</v>
      </c>
      <c r="H4" s="89">
        <f>(G4-G3)*28+G3*(Prototype!B14-14)</f>
        <v>384262.89999999997</v>
      </c>
      <c r="I4" s="20">
        <v>1</v>
      </c>
      <c r="J4" s="20">
        <f>K4*G4/1000</f>
        <v>14.99855</v>
      </c>
      <c r="K4" s="21">
        <v>1</v>
      </c>
      <c r="L4" s="21" t="s">
        <v>41</v>
      </c>
      <c r="N4" s="566"/>
      <c r="O4" s="567"/>
      <c r="P4" s="44"/>
      <c r="Q4" s="44"/>
    </row>
    <row r="5" spans="1:17" ht="17.649999999999999" customHeight="1" x14ac:dyDescent="0.2">
      <c r="A5" s="371" t="s">
        <v>171</v>
      </c>
      <c r="B5" s="92" t="s">
        <v>169</v>
      </c>
      <c r="C5" s="271" t="s">
        <v>172</v>
      </c>
      <c r="D5" s="386" t="s">
        <v>171</v>
      </c>
      <c r="E5" s="87" t="s">
        <v>167</v>
      </c>
      <c r="F5" s="349">
        <f t="shared" si="0"/>
        <v>0.6628246731724432</v>
      </c>
      <c r="G5" s="88">
        <v>34496.730000000003</v>
      </c>
      <c r="H5" s="20">
        <f>G5*Prototype!B14</f>
        <v>965908.44000000006</v>
      </c>
      <c r="I5" s="20">
        <v>1</v>
      </c>
      <c r="J5" s="20">
        <f>K5*G5/1000</f>
        <v>34.496730000000007</v>
      </c>
      <c r="K5" s="21">
        <v>1</v>
      </c>
      <c r="L5" s="21" t="s">
        <v>41</v>
      </c>
      <c r="N5" s="566"/>
      <c r="O5" s="567"/>
      <c r="P5" s="44"/>
      <c r="Q5" s="44"/>
    </row>
    <row r="6" spans="1:17" ht="25.5" x14ac:dyDescent="0.2">
      <c r="A6" s="372" t="s">
        <v>173</v>
      </c>
      <c r="B6" s="93" t="s">
        <v>174</v>
      </c>
      <c r="C6" s="372" t="s">
        <v>175</v>
      </c>
      <c r="D6" s="93"/>
      <c r="E6" s="373" t="s">
        <v>176</v>
      </c>
      <c r="F6" s="350">
        <f>SUM(F3:F5)</f>
        <v>1</v>
      </c>
      <c r="G6" s="22">
        <f>SUM(G3:G5)</f>
        <v>52045.03</v>
      </c>
      <c r="H6" s="20">
        <f>SUM(H3:H5)</f>
        <v>1385867.84</v>
      </c>
      <c r="I6" s="20"/>
      <c r="J6" s="20">
        <f>SUM(J3:J5)</f>
        <v>62.244030000000009</v>
      </c>
      <c r="K6" s="21"/>
      <c r="L6" s="21"/>
      <c r="N6" s="566"/>
      <c r="O6" s="567"/>
      <c r="P6" s="44"/>
      <c r="Q6" s="44"/>
    </row>
    <row r="7" spans="1:17" ht="15" customHeight="1" x14ac:dyDescent="0.2">
      <c r="G7" s="24"/>
      <c r="H7" s="24"/>
      <c r="I7" s="24"/>
      <c r="J7" s="24"/>
      <c r="K7" s="25"/>
      <c r="L7" s="25"/>
      <c r="N7" s="566"/>
      <c r="O7" s="567"/>
      <c r="P7" s="44"/>
      <c r="Q7" s="44"/>
    </row>
    <row r="8" spans="1:17" ht="15" customHeight="1" x14ac:dyDescent="0.2">
      <c r="B8" s="5"/>
      <c r="C8" s="5"/>
      <c r="D8" s="5"/>
      <c r="E8" s="5"/>
      <c r="F8" s="5"/>
      <c r="G8" s="26"/>
      <c r="I8" s="24"/>
      <c r="J8" s="24"/>
      <c r="K8" s="24"/>
      <c r="L8" s="24"/>
      <c r="N8" s="566"/>
      <c r="O8" s="567"/>
    </row>
    <row r="9" spans="1:17" ht="14.65" customHeight="1" x14ac:dyDescent="0.2">
      <c r="B9" s="8"/>
      <c r="C9" s="8"/>
      <c r="D9" s="8"/>
      <c r="E9" s="8"/>
      <c r="G9" s="24"/>
      <c r="H9" s="24"/>
      <c r="I9" s="24"/>
      <c r="J9" s="24"/>
      <c r="K9" s="24"/>
      <c r="L9" s="24"/>
      <c r="N9" s="566"/>
      <c r="O9" s="567"/>
    </row>
    <row r="10" spans="1:17" ht="15" customHeight="1" x14ac:dyDescent="0.2">
      <c r="B10" s="27"/>
      <c r="C10" s="27"/>
      <c r="D10" s="27"/>
      <c r="E10" s="27"/>
      <c r="G10" s="24"/>
      <c r="H10" s="24"/>
      <c r="I10" s="24"/>
      <c r="J10" s="24"/>
      <c r="K10" s="24"/>
      <c r="L10" s="24"/>
      <c r="N10" s="566"/>
      <c r="O10" s="567"/>
    </row>
    <row r="11" spans="1:17" ht="15" customHeight="1" x14ac:dyDescent="0.2">
      <c r="B11" s="24"/>
      <c r="C11" s="24"/>
      <c r="D11" s="24"/>
      <c r="E11" s="24"/>
      <c r="G11" s="24"/>
      <c r="H11" s="24"/>
      <c r="I11" s="24"/>
      <c r="J11" s="24"/>
      <c r="K11" s="24"/>
      <c r="L11" s="24"/>
      <c r="N11" s="566"/>
      <c r="O11" s="567"/>
    </row>
    <row r="12" spans="1:17" ht="15" customHeight="1" x14ac:dyDescent="0.2">
      <c r="B12" s="24"/>
      <c r="C12" s="24"/>
      <c r="D12" s="24"/>
      <c r="E12" s="24"/>
      <c r="G12" s="24"/>
      <c r="H12" s="24"/>
      <c r="I12" s="24"/>
      <c r="J12" s="24"/>
      <c r="K12" s="24"/>
      <c r="L12" s="24"/>
      <c r="N12" s="568"/>
      <c r="O12" s="569"/>
    </row>
    <row r="13" spans="1:17" x14ac:dyDescent="0.2">
      <c r="G13" s="24"/>
      <c r="H13" s="24"/>
      <c r="I13" s="24"/>
      <c r="J13" s="24"/>
      <c r="K13" s="24"/>
      <c r="L13" s="24"/>
    </row>
    <row r="14" spans="1:17" x14ac:dyDescent="0.2">
      <c r="G14" s="24"/>
      <c r="H14" s="24"/>
      <c r="I14" s="24"/>
      <c r="J14" s="24"/>
      <c r="K14" s="24"/>
      <c r="L14" s="24"/>
    </row>
    <row r="15" spans="1:17" hidden="1" x14ac:dyDescent="0.2">
      <c r="G15" s="24"/>
      <c r="H15" s="24"/>
      <c r="I15" s="24"/>
      <c r="J15" s="24"/>
      <c r="K15" s="24"/>
      <c r="L15" s="24"/>
    </row>
    <row r="16" spans="1:17" hidden="1" x14ac:dyDescent="0.2">
      <c r="G16" s="24"/>
      <c r="H16" s="24"/>
      <c r="I16" s="24"/>
      <c r="J16" s="24"/>
      <c r="K16" s="24"/>
      <c r="L16" s="24"/>
    </row>
    <row r="17" spans="2:12" ht="26.25" hidden="1" customHeight="1" x14ac:dyDescent="0.2">
      <c r="G17" s="24"/>
      <c r="H17" s="24"/>
      <c r="I17" s="24"/>
      <c r="J17" s="24"/>
      <c r="K17" s="24"/>
      <c r="L17" s="24"/>
    </row>
    <row r="18" spans="2:12" s="28" customFormat="1" hidden="1" x14ac:dyDescent="0.2">
      <c r="B18" s="28" t="s">
        <v>75</v>
      </c>
      <c r="G18" s="29"/>
      <c r="H18" s="31"/>
    </row>
    <row r="19" spans="2:12" hidden="1" x14ac:dyDescent="0.2">
      <c r="B19" s="23"/>
      <c r="C19" s="23"/>
      <c r="D19" s="23"/>
      <c r="E19" s="23"/>
      <c r="F19" s="23"/>
    </row>
  </sheetData>
  <mergeCells count="2">
    <mergeCell ref="A1:K1"/>
    <mergeCell ref="N2:O12"/>
  </mergeCells>
  <phoneticPr fontId="7" type="noConversion"/>
  <pageMargins left="0.7" right="0.7" top="0.75" bottom="0.75" header="0.3" footer="0.3"/>
  <pageSetup orientation="portrait"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A812770E-E8E4-47DA-B58F-19AC1CB7D938}">
          <x14:formula1>
            <xm:f>Data!$A$2:$A$200</xm:f>
          </x14:formula1>
          <xm:sqref>B3:B5</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3093AA-CE58-48DD-B4C9-82527CB4498E}">
  <sheetPr codeName="Sheet2"/>
  <dimension ref="A1:BO142"/>
  <sheetViews>
    <sheetView zoomScale="80" zoomScaleNormal="80" workbookViewId="0">
      <selection sqref="A1:X1"/>
    </sheetView>
  </sheetViews>
  <sheetFormatPr defaultColWidth="9.28515625" defaultRowHeight="14.25" x14ac:dyDescent="0.2"/>
  <cols>
    <col min="1" max="1" width="17.28515625" style="62" customWidth="1"/>
    <col min="2" max="2" width="13.5703125" style="65" customWidth="1"/>
    <col min="3" max="3" width="18.5703125" style="62" customWidth="1"/>
    <col min="4" max="4" width="42.5703125" style="62" customWidth="1"/>
    <col min="5" max="5" width="13.28515625" style="62" customWidth="1"/>
    <col min="6" max="6" width="15.7109375" style="62" customWidth="1"/>
    <col min="7" max="7" width="20.5703125" style="66" customWidth="1"/>
    <col min="8" max="8" width="42.7109375" style="62" customWidth="1"/>
    <col min="9" max="9" width="6.85546875" style="62" customWidth="1"/>
    <col min="10" max="12" width="7" style="62" customWidth="1"/>
    <col min="13" max="14" width="7.28515625" style="62" customWidth="1"/>
    <col min="15" max="15" width="7" style="62" customWidth="1"/>
    <col min="16" max="16" width="7.140625" style="62" customWidth="1"/>
    <col min="17" max="17" width="7.5703125" style="62" customWidth="1"/>
    <col min="18" max="21" width="7" style="62" customWidth="1"/>
    <col min="22" max="22" width="7.7109375" style="62" customWidth="1"/>
    <col min="23" max="24" width="7" style="62" customWidth="1"/>
    <col min="25" max="26" width="9.28515625" style="62"/>
    <col min="27" max="27" width="7.7109375" style="62" customWidth="1"/>
    <col min="28" max="28" width="17.42578125" style="62" customWidth="1"/>
    <col min="29" max="29" width="34.7109375" style="62" customWidth="1"/>
    <col min="30" max="30" width="48.7109375" style="62" customWidth="1"/>
    <col min="31" max="31" width="68.5703125" style="62" customWidth="1"/>
    <col min="32" max="32" width="20.5703125" style="62" customWidth="1"/>
    <col min="33" max="33" width="43" style="62" customWidth="1"/>
    <col min="34" max="42" width="7.7109375" style="62" customWidth="1"/>
    <col min="43" max="46" width="10.42578125" style="62" customWidth="1"/>
    <col min="47" max="47" width="9.85546875" style="62" customWidth="1"/>
    <col min="48" max="48" width="10.42578125" style="62" customWidth="1"/>
    <col min="49" max="49" width="21.7109375" style="62" customWidth="1"/>
    <col min="50" max="50" width="10.42578125" style="62" customWidth="1"/>
    <col min="51" max="53" width="7.42578125" style="62" customWidth="1"/>
    <col min="54" max="54" width="7.7109375" style="62" customWidth="1"/>
    <col min="55" max="55" width="7.42578125" style="62" customWidth="1"/>
    <col min="56" max="56" width="13.7109375" style="62" customWidth="1"/>
    <col min="57" max="60" width="7.42578125" style="62" customWidth="1"/>
    <col min="61" max="62" width="9.7109375" style="62" bestFit="1" customWidth="1"/>
    <col min="63" max="16384" width="9.28515625" style="62"/>
  </cols>
  <sheetData>
    <row r="1" spans="1:25" ht="25.15" customHeight="1" x14ac:dyDescent="0.2">
      <c r="A1" s="578" t="str">
        <f>"Envelope - "&amp;Prototype!A2</f>
        <v>Envelope - Warehouse</v>
      </c>
      <c r="B1" s="578"/>
      <c r="C1" s="578"/>
      <c r="D1" s="578"/>
      <c r="E1" s="578"/>
      <c r="F1" s="578"/>
      <c r="G1" s="578"/>
      <c r="H1" s="578"/>
      <c r="I1" s="578"/>
      <c r="J1" s="578"/>
      <c r="K1" s="578"/>
      <c r="L1" s="578"/>
      <c r="M1" s="578"/>
      <c r="N1" s="578"/>
      <c r="O1" s="578"/>
      <c r="P1" s="578"/>
      <c r="Q1" s="578"/>
      <c r="R1" s="578"/>
      <c r="S1" s="578"/>
      <c r="T1" s="578"/>
      <c r="U1" s="578"/>
      <c r="V1" s="578"/>
      <c r="W1" s="578"/>
      <c r="X1" s="578"/>
      <c r="Y1" s="2"/>
    </row>
    <row r="2" spans="1:25" ht="27" customHeight="1" x14ac:dyDescent="0.2">
      <c r="A2" s="42" t="s">
        <v>177</v>
      </c>
      <c r="B2" s="42" t="s">
        <v>6</v>
      </c>
      <c r="C2" s="42" t="s">
        <v>178</v>
      </c>
      <c r="D2" s="42" t="s">
        <v>179</v>
      </c>
      <c r="E2" s="73" t="s">
        <v>180</v>
      </c>
      <c r="F2" s="42" t="s">
        <v>181</v>
      </c>
      <c r="G2" s="73" t="s">
        <v>182</v>
      </c>
      <c r="H2" s="42" t="s">
        <v>183</v>
      </c>
      <c r="I2" s="42" t="s">
        <v>184</v>
      </c>
      <c r="J2" s="42" t="s">
        <v>185</v>
      </c>
      <c r="K2" s="42" t="s">
        <v>186</v>
      </c>
      <c r="L2" s="42" t="s">
        <v>187</v>
      </c>
      <c r="M2" s="42" t="s">
        <v>188</v>
      </c>
      <c r="N2" s="42" t="s">
        <v>189</v>
      </c>
      <c r="O2" s="42" t="s">
        <v>190</v>
      </c>
      <c r="P2" s="42" t="s">
        <v>191</v>
      </c>
      <c r="Q2" s="42" t="s">
        <v>192</v>
      </c>
      <c r="R2" s="42" t="s">
        <v>193</v>
      </c>
      <c r="S2" s="42" t="s">
        <v>194</v>
      </c>
      <c r="T2" s="42" t="s">
        <v>195</v>
      </c>
      <c r="U2" s="42" t="s">
        <v>196</v>
      </c>
      <c r="V2" s="42" t="s">
        <v>197</v>
      </c>
      <c r="W2" s="42" t="s">
        <v>198</v>
      </c>
      <c r="X2" s="42" t="s">
        <v>199</v>
      </c>
      <c r="Y2" s="2"/>
    </row>
    <row r="3" spans="1:25" ht="22.5" customHeight="1" x14ac:dyDescent="0.2">
      <c r="A3" s="580" t="s">
        <v>200</v>
      </c>
      <c r="B3" s="580" t="s">
        <v>41</v>
      </c>
      <c r="C3" s="579" t="s">
        <v>201</v>
      </c>
      <c r="D3" s="579" t="s">
        <v>202</v>
      </c>
      <c r="E3" s="580" t="s">
        <v>203</v>
      </c>
      <c r="F3" s="494" t="s">
        <v>204</v>
      </c>
      <c r="G3" s="494" t="s">
        <v>205</v>
      </c>
      <c r="H3" s="497" t="s">
        <v>206</v>
      </c>
      <c r="I3" s="517">
        <v>1.18</v>
      </c>
      <c r="J3" s="517">
        <v>1.18</v>
      </c>
      <c r="K3" s="517">
        <v>1.18</v>
      </c>
      <c r="L3" s="517">
        <v>1.18</v>
      </c>
      <c r="M3" s="517">
        <v>1.18</v>
      </c>
      <c r="N3" s="517">
        <v>1.18</v>
      </c>
      <c r="O3" s="517">
        <v>1.18</v>
      </c>
      <c r="P3" s="517">
        <v>1.18</v>
      </c>
      <c r="Q3" s="517">
        <v>1.18</v>
      </c>
      <c r="R3" s="517">
        <v>1.18</v>
      </c>
      <c r="S3" s="517">
        <v>1.18</v>
      </c>
      <c r="T3" s="517">
        <v>1.18</v>
      </c>
      <c r="U3" s="517">
        <v>1.18</v>
      </c>
      <c r="V3" s="517">
        <v>1.18</v>
      </c>
      <c r="W3" s="517">
        <v>1.18</v>
      </c>
      <c r="X3" s="517">
        <v>1.18</v>
      </c>
      <c r="Y3" s="2"/>
    </row>
    <row r="4" spans="1:25" ht="64.5" customHeight="1" x14ac:dyDescent="0.2">
      <c r="A4" s="580"/>
      <c r="B4" s="580"/>
      <c r="C4" s="579"/>
      <c r="D4" s="579"/>
      <c r="E4" s="580"/>
      <c r="F4" s="212" t="s">
        <v>207</v>
      </c>
      <c r="G4" s="212">
        <v>1986</v>
      </c>
      <c r="H4" s="338" t="s">
        <v>208</v>
      </c>
      <c r="I4" s="339">
        <f>I3</f>
        <v>1.18</v>
      </c>
      <c r="J4" s="339">
        <f t="shared" ref="J4:X4" si="0">J3</f>
        <v>1.18</v>
      </c>
      <c r="K4" s="339">
        <f t="shared" si="0"/>
        <v>1.18</v>
      </c>
      <c r="L4" s="339">
        <f t="shared" si="0"/>
        <v>1.18</v>
      </c>
      <c r="M4" s="339">
        <f t="shared" si="0"/>
        <v>1.18</v>
      </c>
      <c r="N4" s="339">
        <f t="shared" si="0"/>
        <v>1.18</v>
      </c>
      <c r="O4" s="339">
        <f t="shared" si="0"/>
        <v>1.18</v>
      </c>
      <c r="P4" s="339">
        <f t="shared" si="0"/>
        <v>1.18</v>
      </c>
      <c r="Q4" s="339">
        <f t="shared" si="0"/>
        <v>1.18</v>
      </c>
      <c r="R4" s="339">
        <f t="shared" si="0"/>
        <v>1.18</v>
      </c>
      <c r="S4" s="339">
        <f t="shared" si="0"/>
        <v>1.18</v>
      </c>
      <c r="T4" s="339">
        <f t="shared" si="0"/>
        <v>1.18</v>
      </c>
      <c r="U4" s="339">
        <f t="shared" si="0"/>
        <v>1.18</v>
      </c>
      <c r="V4" s="339">
        <f t="shared" si="0"/>
        <v>1.18</v>
      </c>
      <c r="W4" s="339">
        <f t="shared" si="0"/>
        <v>1.18</v>
      </c>
      <c r="X4" s="339">
        <f t="shared" si="0"/>
        <v>1.18</v>
      </c>
      <c r="Y4" s="192"/>
    </row>
    <row r="5" spans="1:25" x14ac:dyDescent="0.2">
      <c r="A5" s="580"/>
      <c r="B5" s="580"/>
      <c r="C5" s="579"/>
      <c r="D5" s="579"/>
      <c r="E5" s="580"/>
      <c r="F5" s="217" t="s">
        <v>209</v>
      </c>
      <c r="G5" s="217">
        <v>2001</v>
      </c>
      <c r="H5" s="219" t="s">
        <v>210</v>
      </c>
      <c r="I5" s="218">
        <v>0.182</v>
      </c>
      <c r="J5" s="218">
        <v>0.182</v>
      </c>
      <c r="K5" s="218">
        <v>0.189</v>
      </c>
      <c r="L5" s="218">
        <v>0.189</v>
      </c>
      <c r="M5" s="218">
        <v>0.189</v>
      </c>
      <c r="N5" s="218">
        <v>0.189</v>
      </c>
      <c r="O5" s="218">
        <v>0.189</v>
      </c>
      <c r="P5" s="218">
        <v>0.189</v>
      </c>
      <c r="Q5" s="218">
        <v>0.189</v>
      </c>
      <c r="R5" s="218">
        <v>0.182</v>
      </c>
      <c r="S5" s="218">
        <v>0.182</v>
      </c>
      <c r="T5" s="218">
        <v>0.182</v>
      </c>
      <c r="U5" s="218">
        <v>0.182</v>
      </c>
      <c r="V5" s="218">
        <v>0.182</v>
      </c>
      <c r="W5" s="218">
        <v>0.182</v>
      </c>
      <c r="X5" s="218">
        <v>0.182</v>
      </c>
      <c r="Y5" s="105"/>
    </row>
    <row r="6" spans="1:25" x14ac:dyDescent="0.2">
      <c r="A6" s="580"/>
      <c r="B6" s="580"/>
      <c r="C6" s="579"/>
      <c r="D6" s="579"/>
      <c r="E6" s="580"/>
      <c r="F6" s="210" t="s">
        <v>211</v>
      </c>
      <c r="G6" s="210">
        <v>2013</v>
      </c>
      <c r="H6" s="220" t="s">
        <v>212</v>
      </c>
      <c r="I6" s="221">
        <v>0.113</v>
      </c>
      <c r="J6" s="221">
        <v>6.0999999999999999E-2</v>
      </c>
      <c r="K6" s="221">
        <v>0.113</v>
      </c>
      <c r="L6" s="221">
        <v>6.0999999999999999E-2</v>
      </c>
      <c r="M6" s="221">
        <v>6.0999999999999999E-2</v>
      </c>
      <c r="N6" s="221">
        <v>0.113</v>
      </c>
      <c r="O6" s="221">
        <v>0.113</v>
      </c>
      <c r="P6" s="221">
        <v>6.0999999999999999E-2</v>
      </c>
      <c r="Q6" s="221">
        <v>6.0999999999999999E-2</v>
      </c>
      <c r="R6" s="221">
        <v>6.0999999999999999E-2</v>
      </c>
      <c r="S6" s="221">
        <v>6.0999999999999999E-2</v>
      </c>
      <c r="T6" s="221">
        <v>6.0999999999999999E-2</v>
      </c>
      <c r="U6" s="221">
        <v>6.0999999999999999E-2</v>
      </c>
      <c r="V6" s="221">
        <v>6.0999999999999999E-2</v>
      </c>
      <c r="W6" s="221">
        <v>5.7000000000000002E-2</v>
      </c>
      <c r="X6" s="221">
        <v>6.0999999999999999E-2</v>
      </c>
      <c r="Y6" s="105"/>
    </row>
    <row r="7" spans="1:25" x14ac:dyDescent="0.2">
      <c r="A7" s="580"/>
      <c r="B7" s="580"/>
      <c r="C7" s="579"/>
      <c r="D7" s="579"/>
      <c r="E7" s="580"/>
      <c r="F7" s="208" t="s">
        <v>213</v>
      </c>
      <c r="G7" s="209">
        <v>2025</v>
      </c>
      <c r="H7" s="222" t="s">
        <v>212</v>
      </c>
      <c r="I7" s="209">
        <v>9.8000000000000004E-2</v>
      </c>
      <c r="J7" s="209">
        <v>5.2999999999999999E-2</v>
      </c>
      <c r="K7" s="209">
        <v>9.8000000000000004E-2</v>
      </c>
      <c r="L7" s="209">
        <v>5.2999999999999999E-2</v>
      </c>
      <c r="M7" s="209">
        <v>5.2999999999999999E-2</v>
      </c>
      <c r="N7" s="209">
        <v>9.8000000000000004E-2</v>
      </c>
      <c r="O7" s="209">
        <v>9.8000000000000004E-2</v>
      </c>
      <c r="P7" s="209">
        <v>5.2999999999999999E-2</v>
      </c>
      <c r="Q7" s="209">
        <v>5.2999999999999999E-2</v>
      </c>
      <c r="R7" s="209">
        <v>5.2999999999999999E-2</v>
      </c>
      <c r="S7" s="209">
        <v>5.2999999999999999E-2</v>
      </c>
      <c r="T7" s="209">
        <v>5.2999999999999999E-2</v>
      </c>
      <c r="U7" s="209">
        <v>5.2999999999999999E-2</v>
      </c>
      <c r="V7" s="209">
        <v>5.2999999999999999E-2</v>
      </c>
      <c r="W7" s="209">
        <v>5.2999999999999999E-2</v>
      </c>
      <c r="X7" s="209">
        <v>5.2999999999999999E-2</v>
      </c>
      <c r="Y7" s="105"/>
    </row>
    <row r="8" spans="1:25" ht="13.9" customHeight="1" x14ac:dyDescent="0.2">
      <c r="A8" s="580" t="s">
        <v>214</v>
      </c>
      <c r="B8" s="580" t="s">
        <v>41</v>
      </c>
      <c r="C8" s="580" t="s">
        <v>215</v>
      </c>
      <c r="D8" s="581" t="s">
        <v>216</v>
      </c>
      <c r="E8" s="580" t="s">
        <v>203</v>
      </c>
      <c r="F8" s="494" t="s">
        <v>204</v>
      </c>
      <c r="G8" s="494" t="s">
        <v>205</v>
      </c>
      <c r="H8" s="573" t="s">
        <v>217</v>
      </c>
      <c r="I8" s="106">
        <f>I9</f>
        <v>5.7000000000000002E-2</v>
      </c>
      <c r="J8" s="106">
        <f t="shared" ref="J8:X8" si="1">J9</f>
        <v>5.7000000000000002E-2</v>
      </c>
      <c r="K8" s="106">
        <f t="shared" si="1"/>
        <v>5.7000000000000002E-2</v>
      </c>
      <c r="L8" s="106">
        <f t="shared" si="1"/>
        <v>5.7000000000000002E-2</v>
      </c>
      <c r="M8" s="106">
        <f t="shared" si="1"/>
        <v>5.7000000000000002E-2</v>
      </c>
      <c r="N8" s="106">
        <f t="shared" si="1"/>
        <v>7.8E-2</v>
      </c>
      <c r="O8" s="106">
        <f t="shared" si="1"/>
        <v>7.8E-2</v>
      </c>
      <c r="P8" s="106">
        <f t="shared" si="1"/>
        <v>7.8E-2</v>
      </c>
      <c r="Q8" s="106">
        <f t="shared" si="1"/>
        <v>7.8E-2</v>
      </c>
      <c r="R8" s="106">
        <f t="shared" si="1"/>
        <v>7.8E-2</v>
      </c>
      <c r="S8" s="106">
        <f t="shared" si="1"/>
        <v>5.7000000000000002E-2</v>
      </c>
      <c r="T8" s="106">
        <f t="shared" si="1"/>
        <v>5.7000000000000002E-2</v>
      </c>
      <c r="U8" s="106">
        <f t="shared" si="1"/>
        <v>5.7000000000000002E-2</v>
      </c>
      <c r="V8" s="106">
        <f t="shared" si="1"/>
        <v>5.7000000000000002E-2</v>
      </c>
      <c r="W8" s="106">
        <f t="shared" si="1"/>
        <v>5.7000000000000002E-2</v>
      </c>
      <c r="X8" s="106">
        <f t="shared" si="1"/>
        <v>5.7000000000000002E-2</v>
      </c>
      <c r="Y8" s="105"/>
    </row>
    <row r="9" spans="1:25" ht="13.9" customHeight="1" x14ac:dyDescent="0.2">
      <c r="A9" s="580"/>
      <c r="B9" s="580"/>
      <c r="C9" s="580"/>
      <c r="D9" s="581"/>
      <c r="E9" s="580"/>
      <c r="F9" s="212" t="s">
        <v>207</v>
      </c>
      <c r="G9" s="212">
        <v>1992</v>
      </c>
      <c r="H9" s="574"/>
      <c r="I9" s="214">
        <v>5.7000000000000002E-2</v>
      </c>
      <c r="J9" s="214">
        <v>5.7000000000000002E-2</v>
      </c>
      <c r="K9" s="214">
        <v>5.7000000000000002E-2</v>
      </c>
      <c r="L9" s="214">
        <v>5.7000000000000002E-2</v>
      </c>
      <c r="M9" s="214">
        <v>5.7000000000000002E-2</v>
      </c>
      <c r="N9" s="214">
        <v>7.8E-2</v>
      </c>
      <c r="O9" s="214">
        <v>7.8E-2</v>
      </c>
      <c r="P9" s="214">
        <v>7.8E-2</v>
      </c>
      <c r="Q9" s="214">
        <v>7.8E-2</v>
      </c>
      <c r="R9" s="214">
        <v>7.8E-2</v>
      </c>
      <c r="S9" s="214">
        <v>5.7000000000000002E-2</v>
      </c>
      <c r="T9" s="214">
        <v>5.7000000000000002E-2</v>
      </c>
      <c r="U9" s="214">
        <v>5.7000000000000002E-2</v>
      </c>
      <c r="V9" s="214">
        <v>5.7000000000000002E-2</v>
      </c>
      <c r="W9" s="214">
        <v>5.7000000000000002E-2</v>
      </c>
      <c r="X9" s="214">
        <v>5.7000000000000002E-2</v>
      </c>
      <c r="Y9" s="105"/>
    </row>
    <row r="10" spans="1:25" ht="13.9" customHeight="1" x14ac:dyDescent="0.2">
      <c r="A10" s="580"/>
      <c r="B10" s="580"/>
      <c r="C10" s="580"/>
      <c r="D10" s="581"/>
      <c r="E10" s="580"/>
      <c r="F10" s="217" t="s">
        <v>209</v>
      </c>
      <c r="G10" s="217">
        <v>2001</v>
      </c>
      <c r="H10" s="217" t="s">
        <v>218</v>
      </c>
      <c r="I10" s="218">
        <v>5.7000000000000002E-2</v>
      </c>
      <c r="J10" s="218">
        <v>5.7000000000000002E-2</v>
      </c>
      <c r="K10" s="218">
        <v>5.7000000000000002E-2</v>
      </c>
      <c r="L10" s="218">
        <v>5.7000000000000002E-2</v>
      </c>
      <c r="M10" s="218">
        <v>5.7000000000000002E-2</v>
      </c>
      <c r="N10" s="218">
        <v>7.8E-2</v>
      </c>
      <c r="O10" s="218">
        <v>7.8E-2</v>
      </c>
      <c r="P10" s="218">
        <v>7.8E-2</v>
      </c>
      <c r="Q10" s="218">
        <v>7.8E-2</v>
      </c>
      <c r="R10" s="218">
        <v>5.7000000000000002E-2</v>
      </c>
      <c r="S10" s="218">
        <v>5.7000000000000002E-2</v>
      </c>
      <c r="T10" s="218">
        <v>5.7000000000000002E-2</v>
      </c>
      <c r="U10" s="218">
        <v>5.7000000000000002E-2</v>
      </c>
      <c r="V10" s="218">
        <v>5.7000000000000002E-2</v>
      </c>
      <c r="W10" s="218">
        <v>5.7000000000000002E-2</v>
      </c>
      <c r="X10" s="218">
        <v>5.7000000000000002E-2</v>
      </c>
      <c r="Y10" s="105"/>
    </row>
    <row r="11" spans="1:25" ht="13.9" customHeight="1" x14ac:dyDescent="0.2">
      <c r="A11" s="580"/>
      <c r="B11" s="580"/>
      <c r="C11" s="580"/>
      <c r="D11" s="581"/>
      <c r="E11" s="580"/>
      <c r="F11" s="210" t="s">
        <v>211</v>
      </c>
      <c r="G11" s="210">
        <v>2013</v>
      </c>
      <c r="H11" s="220" t="s">
        <v>212</v>
      </c>
      <c r="I11" s="221">
        <v>6.5000000000000002E-2</v>
      </c>
      <c r="J11" s="221">
        <v>6.5000000000000002E-2</v>
      </c>
      <c r="K11" s="221">
        <v>6.5000000000000002E-2</v>
      </c>
      <c r="L11" s="221">
        <v>6.5000000000000002E-2</v>
      </c>
      <c r="M11" s="221">
        <v>6.5000000000000002E-2</v>
      </c>
      <c r="N11" s="221">
        <v>6.5000000000000002E-2</v>
      </c>
      <c r="O11" s="221">
        <v>6.5000000000000002E-2</v>
      </c>
      <c r="P11" s="221">
        <v>6.5000000000000002E-2</v>
      </c>
      <c r="Q11" s="221">
        <v>6.5000000000000002E-2</v>
      </c>
      <c r="R11" s="221">
        <v>6.5000000000000002E-2</v>
      </c>
      <c r="S11" s="221">
        <v>6.5000000000000002E-2</v>
      </c>
      <c r="T11" s="221">
        <v>6.5000000000000002E-2</v>
      </c>
      <c r="U11" s="221">
        <v>6.5000000000000002E-2</v>
      </c>
      <c r="V11" s="221">
        <v>6.5000000000000002E-2</v>
      </c>
      <c r="W11" s="221">
        <v>6.5000000000000002E-2</v>
      </c>
      <c r="X11" s="221">
        <v>6.5000000000000002E-2</v>
      </c>
      <c r="Y11" s="105"/>
    </row>
    <row r="12" spans="1:25" ht="13.9" customHeight="1" x14ac:dyDescent="0.2">
      <c r="A12" s="580"/>
      <c r="B12" s="580"/>
      <c r="C12" s="580"/>
      <c r="D12" s="581"/>
      <c r="E12" s="580"/>
      <c r="F12" s="208" t="s">
        <v>213</v>
      </c>
      <c r="G12" s="209">
        <v>2025</v>
      </c>
      <c r="H12" s="222" t="s">
        <v>212</v>
      </c>
      <c r="I12" s="209">
        <v>3.7999999999999999E-2</v>
      </c>
      <c r="J12" s="209">
        <v>3.7999999999999999E-2</v>
      </c>
      <c r="K12" s="209">
        <v>3.7999999999999999E-2</v>
      </c>
      <c r="L12" s="209">
        <v>3.7999999999999999E-2</v>
      </c>
      <c r="M12" s="209">
        <v>3.7999999999999999E-2</v>
      </c>
      <c r="N12" s="209">
        <v>3.7999999999999999E-2</v>
      </c>
      <c r="O12" s="209">
        <v>3.7999999999999999E-2</v>
      </c>
      <c r="P12" s="209">
        <v>3.7999999999999999E-2</v>
      </c>
      <c r="Q12" s="209">
        <v>3.7999999999999999E-2</v>
      </c>
      <c r="R12" s="209">
        <v>3.7999999999999999E-2</v>
      </c>
      <c r="S12" s="209">
        <v>3.7999999999999999E-2</v>
      </c>
      <c r="T12" s="209">
        <v>3.7999999999999999E-2</v>
      </c>
      <c r="U12" s="209">
        <v>3.7999999999999999E-2</v>
      </c>
      <c r="V12" s="209">
        <v>3.7999999999999999E-2</v>
      </c>
      <c r="W12" s="209">
        <v>3.7999999999999999E-2</v>
      </c>
      <c r="X12" s="209">
        <v>3.7999999999999999E-2</v>
      </c>
      <c r="Y12" s="105"/>
    </row>
    <row r="13" spans="1:25" ht="18" customHeight="1" x14ac:dyDescent="0.2">
      <c r="A13" s="580" t="s">
        <v>219</v>
      </c>
      <c r="B13" s="570" t="s">
        <v>41</v>
      </c>
      <c r="C13" s="570" t="s">
        <v>220</v>
      </c>
      <c r="D13" s="579" t="s">
        <v>221</v>
      </c>
      <c r="E13" s="580" t="s">
        <v>203</v>
      </c>
      <c r="F13" s="494" t="s">
        <v>204</v>
      </c>
      <c r="G13" s="494" t="s">
        <v>205</v>
      </c>
      <c r="H13" s="573" t="s">
        <v>222</v>
      </c>
      <c r="I13" s="494">
        <f t="shared" ref="I13:X13" si="2">0.5*1.12+0.5*I16</f>
        <v>0.74</v>
      </c>
      <c r="J13" s="494">
        <f t="shared" si="2"/>
        <v>0.74</v>
      </c>
      <c r="K13" s="494">
        <f t="shared" si="2"/>
        <v>0.74</v>
      </c>
      <c r="L13" s="494">
        <f t="shared" si="2"/>
        <v>0.74</v>
      </c>
      <c r="M13" s="494">
        <f t="shared" si="2"/>
        <v>0.74</v>
      </c>
      <c r="N13" s="494">
        <f t="shared" si="2"/>
        <v>0.74</v>
      </c>
      <c r="O13" s="494">
        <f t="shared" si="2"/>
        <v>0.74</v>
      </c>
      <c r="P13" s="494">
        <f t="shared" si="2"/>
        <v>0.74</v>
      </c>
      <c r="Q13" s="494">
        <f t="shared" si="2"/>
        <v>0.74</v>
      </c>
      <c r="R13" s="494">
        <f t="shared" si="2"/>
        <v>0.74</v>
      </c>
      <c r="S13" s="494">
        <f t="shared" si="2"/>
        <v>0.74</v>
      </c>
      <c r="T13" s="494">
        <f t="shared" si="2"/>
        <v>0.74</v>
      </c>
      <c r="U13" s="494">
        <f t="shared" si="2"/>
        <v>0.74</v>
      </c>
      <c r="V13" s="494">
        <f t="shared" si="2"/>
        <v>0.74</v>
      </c>
      <c r="W13" s="494">
        <f t="shared" si="2"/>
        <v>0.74</v>
      </c>
      <c r="X13" s="494">
        <f t="shared" si="2"/>
        <v>0.74</v>
      </c>
      <c r="Y13" s="105"/>
    </row>
    <row r="14" spans="1:25" ht="20.45" customHeight="1" x14ac:dyDescent="0.2">
      <c r="A14" s="580"/>
      <c r="B14" s="582"/>
      <c r="C14" s="582"/>
      <c r="D14" s="579"/>
      <c r="E14" s="580"/>
      <c r="F14" s="212" t="s">
        <v>207</v>
      </c>
      <c r="G14" s="212" t="s">
        <v>205</v>
      </c>
      <c r="H14" s="574"/>
      <c r="I14" s="215">
        <f>I13</f>
        <v>0.74</v>
      </c>
      <c r="J14" s="215">
        <f t="shared" ref="J14:X14" si="3">J13</f>
        <v>0.74</v>
      </c>
      <c r="K14" s="215">
        <f t="shared" si="3"/>
        <v>0.74</v>
      </c>
      <c r="L14" s="215">
        <f t="shared" si="3"/>
        <v>0.74</v>
      </c>
      <c r="M14" s="215">
        <f t="shared" si="3"/>
        <v>0.74</v>
      </c>
      <c r="N14" s="215">
        <f t="shared" si="3"/>
        <v>0.74</v>
      </c>
      <c r="O14" s="215">
        <f t="shared" si="3"/>
        <v>0.74</v>
      </c>
      <c r="P14" s="215">
        <f t="shared" si="3"/>
        <v>0.74</v>
      </c>
      <c r="Q14" s="215">
        <f t="shared" si="3"/>
        <v>0.74</v>
      </c>
      <c r="R14" s="215">
        <f t="shared" si="3"/>
        <v>0.74</v>
      </c>
      <c r="S14" s="215">
        <f t="shared" si="3"/>
        <v>0.74</v>
      </c>
      <c r="T14" s="215">
        <f t="shared" si="3"/>
        <v>0.74</v>
      </c>
      <c r="U14" s="215">
        <f t="shared" si="3"/>
        <v>0.74</v>
      </c>
      <c r="V14" s="215">
        <f t="shared" si="3"/>
        <v>0.74</v>
      </c>
      <c r="W14" s="215">
        <f t="shared" si="3"/>
        <v>0.74</v>
      </c>
      <c r="X14" s="215">
        <f t="shared" si="3"/>
        <v>0.74</v>
      </c>
      <c r="Y14" s="105"/>
    </row>
    <row r="15" spans="1:25" ht="13.9" customHeight="1" x14ac:dyDescent="0.2">
      <c r="A15" s="580"/>
      <c r="B15" s="582"/>
      <c r="C15" s="582"/>
      <c r="D15" s="580" t="s">
        <v>223</v>
      </c>
      <c r="E15" s="580"/>
      <c r="F15" s="217" t="s">
        <v>209</v>
      </c>
      <c r="G15" s="217">
        <v>2001</v>
      </c>
      <c r="H15" s="217" t="s">
        <v>218</v>
      </c>
      <c r="I15" s="217">
        <v>0.49</v>
      </c>
      <c r="J15" s="217">
        <v>0.49</v>
      </c>
      <c r="K15" s="217">
        <v>0.81</v>
      </c>
      <c r="L15" s="217">
        <v>0.81</v>
      </c>
      <c r="M15" s="217">
        <v>0.81</v>
      </c>
      <c r="N15" s="217">
        <v>0.81</v>
      </c>
      <c r="O15" s="217">
        <v>0.81</v>
      </c>
      <c r="P15" s="217">
        <v>0.81</v>
      </c>
      <c r="Q15" s="217">
        <v>0.81</v>
      </c>
      <c r="R15" s="217">
        <v>0.49</v>
      </c>
      <c r="S15" s="217">
        <v>0.49</v>
      </c>
      <c r="T15" s="217">
        <v>0.49</v>
      </c>
      <c r="U15" s="217">
        <v>0.49</v>
      </c>
      <c r="V15" s="217">
        <v>0.49</v>
      </c>
      <c r="W15" s="217">
        <v>0.49</v>
      </c>
      <c r="X15" s="217">
        <v>0.49</v>
      </c>
      <c r="Y15" s="105"/>
    </row>
    <row r="16" spans="1:25" ht="13.9" customHeight="1" x14ac:dyDescent="0.2">
      <c r="A16" s="580"/>
      <c r="B16" s="582"/>
      <c r="C16" s="582"/>
      <c r="D16" s="580"/>
      <c r="E16" s="580"/>
      <c r="F16" s="210" t="s">
        <v>211</v>
      </c>
      <c r="G16" s="210">
        <v>2013</v>
      </c>
      <c r="H16" s="210" t="s">
        <v>224</v>
      </c>
      <c r="I16" s="210">
        <v>0.36</v>
      </c>
      <c r="J16" s="210">
        <v>0.36</v>
      </c>
      <c r="K16" s="210">
        <v>0.36</v>
      </c>
      <c r="L16" s="210">
        <v>0.36</v>
      </c>
      <c r="M16" s="210">
        <v>0.36</v>
      </c>
      <c r="N16" s="210">
        <v>0.36</v>
      </c>
      <c r="O16" s="210">
        <v>0.36</v>
      </c>
      <c r="P16" s="210">
        <v>0.36</v>
      </c>
      <c r="Q16" s="210">
        <v>0.36</v>
      </c>
      <c r="R16" s="210">
        <v>0.36</v>
      </c>
      <c r="S16" s="210">
        <v>0.36</v>
      </c>
      <c r="T16" s="210">
        <v>0.36</v>
      </c>
      <c r="U16" s="210">
        <v>0.36</v>
      </c>
      <c r="V16" s="210">
        <v>0.36</v>
      </c>
      <c r="W16" s="210">
        <v>0.36</v>
      </c>
      <c r="X16" s="210">
        <v>0.36</v>
      </c>
      <c r="Y16" s="105"/>
    </row>
    <row r="17" spans="1:67" ht="13.9" customHeight="1" x14ac:dyDescent="0.2">
      <c r="A17" s="580"/>
      <c r="B17" s="582"/>
      <c r="C17" s="582"/>
      <c r="D17" s="580"/>
      <c r="E17" s="580"/>
      <c r="F17" s="208" t="s">
        <v>213</v>
      </c>
      <c r="G17" s="209">
        <v>2025</v>
      </c>
      <c r="H17" s="209" t="s">
        <v>224</v>
      </c>
      <c r="I17" s="209">
        <v>0.36</v>
      </c>
      <c r="J17" s="209">
        <v>0.36</v>
      </c>
      <c r="K17" s="209">
        <v>0.36</v>
      </c>
      <c r="L17" s="209">
        <v>0.36</v>
      </c>
      <c r="M17" s="209">
        <v>0.36</v>
      </c>
      <c r="N17" s="209">
        <v>0.36</v>
      </c>
      <c r="O17" s="209">
        <v>0.36</v>
      </c>
      <c r="P17" s="209">
        <v>0.36</v>
      </c>
      <c r="Q17" s="209">
        <v>0.34</v>
      </c>
      <c r="R17" s="209">
        <v>0.36</v>
      </c>
      <c r="S17" s="209">
        <v>0.34</v>
      </c>
      <c r="T17" s="209">
        <v>0.34</v>
      </c>
      <c r="U17" s="209">
        <v>0.34</v>
      </c>
      <c r="V17" s="209">
        <v>0.34</v>
      </c>
      <c r="W17" s="209">
        <v>0.34</v>
      </c>
      <c r="X17" s="209">
        <v>0.36</v>
      </c>
      <c r="Y17" s="105"/>
      <c r="Z17" s="2"/>
      <c r="AA17" s="2"/>
      <c r="AB17" s="2"/>
      <c r="AC17" s="2"/>
      <c r="AD17" s="2"/>
      <c r="AE17" s="2"/>
      <c r="AF17" s="2"/>
      <c r="AG17" s="2"/>
      <c r="AH17" s="2"/>
      <c r="AI17" s="2"/>
      <c r="AJ17" s="2"/>
      <c r="AK17" s="2"/>
      <c r="AL17" s="2"/>
      <c r="AM17" s="2"/>
      <c r="AN17" s="2"/>
      <c r="AO17" s="2"/>
      <c r="AP17" s="2"/>
      <c r="AQ17" s="2"/>
      <c r="AR17" s="2"/>
      <c r="AS17" s="2"/>
      <c r="AT17" s="2"/>
      <c r="AU17" s="2"/>
      <c r="AV17" s="2"/>
      <c r="AW17" s="2"/>
      <c r="AX17" s="2"/>
      <c r="AY17" s="2"/>
      <c r="AZ17" s="2"/>
      <c r="BA17" s="2"/>
      <c r="BB17" s="2"/>
      <c r="BC17" s="2"/>
      <c r="BD17" s="2"/>
      <c r="BE17" s="2"/>
      <c r="BF17" s="2"/>
      <c r="BG17" s="2"/>
      <c r="BH17" s="2"/>
      <c r="BI17" s="2"/>
      <c r="BJ17" s="2"/>
      <c r="BK17" s="2"/>
      <c r="BL17" s="2"/>
      <c r="BM17" s="2"/>
      <c r="BN17" s="2"/>
      <c r="BO17" s="2"/>
    </row>
    <row r="18" spans="1:67" ht="21.6" customHeight="1" x14ac:dyDescent="0.2">
      <c r="A18" s="580"/>
      <c r="B18" s="582"/>
      <c r="C18" s="582"/>
      <c r="D18" s="579" t="s">
        <v>221</v>
      </c>
      <c r="E18" s="580" t="s">
        <v>225</v>
      </c>
      <c r="F18" s="494" t="s">
        <v>204</v>
      </c>
      <c r="G18" s="494" t="s">
        <v>205</v>
      </c>
      <c r="H18" s="573" t="s">
        <v>226</v>
      </c>
      <c r="I18" s="46">
        <f>0.79*0.5+I21*0.5</f>
        <v>0.52</v>
      </c>
      <c r="J18" s="46">
        <f t="shared" ref="J18:X18" si="4">0.79*0.5+J21*0.5</f>
        <v>0.52</v>
      </c>
      <c r="K18" s="46">
        <f t="shared" si="4"/>
        <v>0.52</v>
      </c>
      <c r="L18" s="46">
        <f t="shared" si="4"/>
        <v>0.52</v>
      </c>
      <c r="M18" s="46">
        <f t="shared" si="4"/>
        <v>0.52</v>
      </c>
      <c r="N18" s="46">
        <f t="shared" si="4"/>
        <v>0.52</v>
      </c>
      <c r="O18" s="46">
        <f t="shared" si="4"/>
        <v>0.52</v>
      </c>
      <c r="P18" s="46">
        <f t="shared" si="4"/>
        <v>0.52</v>
      </c>
      <c r="Q18" s="46">
        <f t="shared" si="4"/>
        <v>0.52</v>
      </c>
      <c r="R18" s="46">
        <f t="shared" si="4"/>
        <v>0.52</v>
      </c>
      <c r="S18" s="46">
        <f t="shared" si="4"/>
        <v>0.52</v>
      </c>
      <c r="T18" s="46">
        <f t="shared" si="4"/>
        <v>0.52</v>
      </c>
      <c r="U18" s="46">
        <f t="shared" si="4"/>
        <v>0.52</v>
      </c>
      <c r="V18" s="46">
        <f t="shared" si="4"/>
        <v>0.52</v>
      </c>
      <c r="W18" s="46">
        <f t="shared" si="4"/>
        <v>0.52</v>
      </c>
      <c r="X18" s="46">
        <f t="shared" si="4"/>
        <v>0.52</v>
      </c>
      <c r="Y18" s="105"/>
      <c r="Z18" s="2"/>
      <c r="AA18" s="2"/>
      <c r="AB18" s="2"/>
      <c r="AC18" s="2"/>
      <c r="AD18" s="2"/>
      <c r="AE18" s="2"/>
      <c r="AF18" s="2"/>
      <c r="AG18" s="2"/>
      <c r="AH18" s="2"/>
      <c r="AI18" s="2"/>
      <c r="AJ18" s="2"/>
      <c r="AK18" s="2"/>
      <c r="AL18" s="2"/>
      <c r="AM18" s="2"/>
      <c r="AN18" s="2"/>
      <c r="AO18" s="2"/>
      <c r="AP18" s="2"/>
      <c r="AQ18" s="2"/>
      <c r="AR18" s="2"/>
      <c r="AS18" s="2"/>
      <c r="AT18" s="2"/>
      <c r="AU18" s="2"/>
      <c r="AV18" s="2"/>
      <c r="AW18" s="2"/>
      <c r="AX18" s="2"/>
      <c r="AY18" s="2"/>
      <c r="AZ18" s="2"/>
      <c r="BA18" s="2"/>
      <c r="BB18" s="2"/>
      <c r="BC18" s="2"/>
      <c r="BD18" s="2"/>
      <c r="BE18" s="2"/>
      <c r="BF18" s="2"/>
      <c r="BG18" s="2"/>
      <c r="BH18" s="2"/>
      <c r="BI18" s="2"/>
      <c r="BJ18" s="2"/>
      <c r="BK18" s="2"/>
      <c r="BL18" s="2"/>
      <c r="BM18" s="2"/>
      <c r="BN18" s="2"/>
      <c r="BO18" s="2"/>
    </row>
    <row r="19" spans="1:67" ht="18.600000000000001" customHeight="1" x14ac:dyDescent="0.2">
      <c r="A19" s="580"/>
      <c r="B19" s="582"/>
      <c r="C19" s="582"/>
      <c r="D19" s="579"/>
      <c r="E19" s="580"/>
      <c r="F19" s="212" t="s">
        <v>207</v>
      </c>
      <c r="G19" s="212" t="s">
        <v>205</v>
      </c>
      <c r="H19" s="574"/>
      <c r="I19" s="216">
        <f>I18</f>
        <v>0.52</v>
      </c>
      <c r="J19" s="216">
        <f t="shared" ref="J19:X19" si="5">J18</f>
        <v>0.52</v>
      </c>
      <c r="K19" s="216">
        <f t="shared" si="5"/>
        <v>0.52</v>
      </c>
      <c r="L19" s="216">
        <f t="shared" si="5"/>
        <v>0.52</v>
      </c>
      <c r="M19" s="216">
        <f t="shared" si="5"/>
        <v>0.52</v>
      </c>
      <c r="N19" s="216">
        <f t="shared" si="5"/>
        <v>0.52</v>
      </c>
      <c r="O19" s="216">
        <f t="shared" si="5"/>
        <v>0.52</v>
      </c>
      <c r="P19" s="216">
        <f t="shared" si="5"/>
        <v>0.52</v>
      </c>
      <c r="Q19" s="216">
        <f t="shared" si="5"/>
        <v>0.52</v>
      </c>
      <c r="R19" s="216">
        <f t="shared" si="5"/>
        <v>0.52</v>
      </c>
      <c r="S19" s="216">
        <f t="shared" si="5"/>
        <v>0.52</v>
      </c>
      <c r="T19" s="216">
        <f t="shared" si="5"/>
        <v>0.52</v>
      </c>
      <c r="U19" s="216">
        <f t="shared" si="5"/>
        <v>0.52</v>
      </c>
      <c r="V19" s="216">
        <f t="shared" si="5"/>
        <v>0.52</v>
      </c>
      <c r="W19" s="216">
        <f t="shared" si="5"/>
        <v>0.52</v>
      </c>
      <c r="X19" s="216">
        <f t="shared" si="5"/>
        <v>0.52</v>
      </c>
      <c r="Y19" s="105"/>
      <c r="Z19" s="2"/>
      <c r="AA19" s="2"/>
      <c r="AB19" s="2"/>
      <c r="AC19" s="2"/>
      <c r="AD19" s="2"/>
      <c r="AE19" s="2"/>
      <c r="AF19" s="2"/>
      <c r="AG19" s="2"/>
      <c r="AH19" s="2"/>
      <c r="AI19" s="2"/>
      <c r="AJ19" s="2"/>
      <c r="AK19" s="2"/>
      <c r="AL19" s="2"/>
      <c r="AM19" s="2"/>
      <c r="AN19" s="2"/>
      <c r="AO19" s="2"/>
      <c r="AP19" s="2"/>
      <c r="AQ19" s="2"/>
      <c r="AR19" s="2"/>
      <c r="AS19" s="2"/>
      <c r="AT19" s="2"/>
      <c r="AU19" s="2"/>
      <c r="AV19" s="2"/>
      <c r="AW19" s="2"/>
      <c r="AX19" s="2"/>
      <c r="AY19" s="2"/>
      <c r="AZ19" s="2"/>
      <c r="BA19" s="2"/>
      <c r="BB19" s="2"/>
      <c r="BC19" s="2"/>
      <c r="BD19" s="2"/>
      <c r="BE19" s="2"/>
      <c r="BF19" s="2"/>
      <c r="BG19" s="2"/>
      <c r="BH19" s="2"/>
      <c r="BI19" s="2"/>
      <c r="BJ19" s="2"/>
      <c r="BK19" s="2"/>
      <c r="BL19" s="2"/>
      <c r="BM19" s="2"/>
      <c r="BN19" s="2"/>
      <c r="BO19" s="2"/>
    </row>
    <row r="20" spans="1:67" ht="13.9" customHeight="1" x14ac:dyDescent="0.2">
      <c r="A20" s="580"/>
      <c r="B20" s="582"/>
      <c r="C20" s="582"/>
      <c r="D20" s="580" t="s">
        <v>223</v>
      </c>
      <c r="E20" s="580"/>
      <c r="F20" s="211" t="s">
        <v>209</v>
      </c>
      <c r="G20" s="211">
        <v>2001</v>
      </c>
      <c r="H20" s="211" t="s">
        <v>227</v>
      </c>
      <c r="I20" s="217">
        <v>0.49</v>
      </c>
      <c r="J20" s="217">
        <v>0.47</v>
      </c>
      <c r="K20" s="217">
        <v>0.61</v>
      </c>
      <c r="L20" s="217">
        <v>0.61</v>
      </c>
      <c r="M20" s="217">
        <v>0.61</v>
      </c>
      <c r="N20" s="217">
        <v>0.61</v>
      </c>
      <c r="O20" s="217">
        <v>0.61</v>
      </c>
      <c r="P20" s="217">
        <v>0.61</v>
      </c>
      <c r="Q20" s="217">
        <v>0.61</v>
      </c>
      <c r="R20" s="217">
        <v>0.47</v>
      </c>
      <c r="S20" s="217">
        <v>0.47</v>
      </c>
      <c r="T20" s="217">
        <v>0.47</v>
      </c>
      <c r="U20" s="217">
        <v>0.47</v>
      </c>
      <c r="V20" s="217">
        <v>0.46</v>
      </c>
      <c r="W20" s="217">
        <v>0.46</v>
      </c>
      <c r="X20" s="217">
        <v>0.49</v>
      </c>
      <c r="Y20" s="105"/>
      <c r="Z20" s="2"/>
      <c r="AA20" s="2"/>
      <c r="AB20" s="2"/>
      <c r="AC20" s="2"/>
      <c r="AD20" s="2"/>
      <c r="AE20" s="2"/>
      <c r="AF20" s="2"/>
      <c r="AG20" s="2"/>
      <c r="AH20" s="2"/>
      <c r="AI20" s="2"/>
      <c r="AJ20" s="2"/>
      <c r="AK20" s="2"/>
      <c r="AL20" s="2"/>
      <c r="AM20" s="2"/>
      <c r="AN20" s="2"/>
      <c r="AO20" s="2"/>
      <c r="AP20" s="2"/>
      <c r="AQ20" s="2"/>
      <c r="AR20" s="2"/>
      <c r="AS20" s="2"/>
      <c r="AT20" s="2"/>
      <c r="AU20" s="2"/>
      <c r="AV20" s="2"/>
      <c r="AW20" s="2"/>
      <c r="AX20" s="2"/>
      <c r="AY20" s="2"/>
      <c r="AZ20" s="2"/>
      <c r="BA20" s="2"/>
      <c r="BB20" s="2"/>
      <c r="BC20" s="2"/>
      <c r="BD20" s="2"/>
      <c r="BE20" s="2"/>
      <c r="BF20" s="2"/>
      <c r="BG20" s="2"/>
      <c r="BH20" s="2"/>
      <c r="BI20" s="2"/>
      <c r="BJ20" s="2"/>
      <c r="BK20" s="2"/>
      <c r="BL20" s="2"/>
      <c r="BM20" s="2"/>
      <c r="BN20" s="2"/>
      <c r="BO20" s="2"/>
    </row>
    <row r="21" spans="1:67" ht="13.9" customHeight="1" x14ac:dyDescent="0.2">
      <c r="A21" s="580"/>
      <c r="B21" s="582"/>
      <c r="C21" s="582"/>
      <c r="D21" s="580"/>
      <c r="E21" s="580"/>
      <c r="F21" s="210" t="s">
        <v>211</v>
      </c>
      <c r="G21" s="210">
        <v>2013</v>
      </c>
      <c r="H21" s="210" t="s">
        <v>224</v>
      </c>
      <c r="I21" s="210">
        <v>0.25</v>
      </c>
      <c r="J21" s="210">
        <v>0.25</v>
      </c>
      <c r="K21" s="210">
        <v>0.25</v>
      </c>
      <c r="L21" s="210">
        <v>0.25</v>
      </c>
      <c r="M21" s="210">
        <v>0.25</v>
      </c>
      <c r="N21" s="210">
        <v>0.25</v>
      </c>
      <c r="O21" s="210">
        <v>0.25</v>
      </c>
      <c r="P21" s="210">
        <v>0.25</v>
      </c>
      <c r="Q21" s="210">
        <v>0.25</v>
      </c>
      <c r="R21" s="210">
        <v>0.25</v>
      </c>
      <c r="S21" s="210">
        <v>0.25</v>
      </c>
      <c r="T21" s="210">
        <v>0.25</v>
      </c>
      <c r="U21" s="210">
        <v>0.25</v>
      </c>
      <c r="V21" s="210">
        <v>0.25</v>
      </c>
      <c r="W21" s="210">
        <v>0.25</v>
      </c>
      <c r="X21" s="210">
        <v>0.25</v>
      </c>
      <c r="Y21" s="105"/>
      <c r="Z21" s="2"/>
      <c r="AA21" s="2"/>
      <c r="AB21" s="2"/>
      <c r="AC21" s="2"/>
      <c r="AD21" s="2"/>
      <c r="AE21" s="2"/>
      <c r="AF21" s="2"/>
      <c r="AG21" s="2"/>
      <c r="AH21" s="2"/>
      <c r="AI21" s="2"/>
      <c r="AJ21" s="2"/>
      <c r="AK21" s="2"/>
      <c r="AL21" s="2"/>
      <c r="AM21" s="2"/>
      <c r="AN21" s="2"/>
      <c r="AO21" s="2"/>
      <c r="AP21" s="2"/>
      <c r="AQ21" s="2"/>
      <c r="AR21" s="2"/>
      <c r="AS21" s="2"/>
      <c r="AT21" s="2"/>
      <c r="AU21" s="2"/>
      <c r="AV21" s="2"/>
      <c r="AW21" s="2"/>
      <c r="AX21" s="2"/>
      <c r="AY21" s="2"/>
      <c r="AZ21" s="2"/>
      <c r="BA21" s="2"/>
      <c r="BB21" s="2"/>
      <c r="BC21" s="2"/>
      <c r="BD21" s="2"/>
      <c r="BE21" s="2"/>
      <c r="BF21" s="2"/>
      <c r="BG21" s="2"/>
      <c r="BH21" s="2"/>
      <c r="BI21" s="2"/>
      <c r="BJ21" s="2"/>
      <c r="BK21" s="2"/>
      <c r="BL21" s="2"/>
      <c r="BM21" s="2"/>
      <c r="BN21" s="2"/>
      <c r="BO21" s="2"/>
    </row>
    <row r="22" spans="1:67" ht="13.9" customHeight="1" x14ac:dyDescent="0.2">
      <c r="A22" s="580"/>
      <c r="B22" s="571"/>
      <c r="C22" s="571"/>
      <c r="D22" s="580"/>
      <c r="E22" s="580"/>
      <c r="F22" s="208" t="s">
        <v>213</v>
      </c>
      <c r="G22" s="209">
        <v>2025</v>
      </c>
      <c r="H22" s="209" t="s">
        <v>224</v>
      </c>
      <c r="I22" s="209">
        <v>0.25</v>
      </c>
      <c r="J22" s="209">
        <v>0.25</v>
      </c>
      <c r="K22" s="209">
        <v>0.25</v>
      </c>
      <c r="L22" s="209">
        <v>0.25</v>
      </c>
      <c r="M22" s="209">
        <v>0.25</v>
      </c>
      <c r="N22" s="209">
        <v>0.25</v>
      </c>
      <c r="O22" s="209">
        <v>0.25</v>
      </c>
      <c r="P22" s="209">
        <v>0.25</v>
      </c>
      <c r="Q22" s="209">
        <v>0.22</v>
      </c>
      <c r="R22" s="209">
        <v>0.25</v>
      </c>
      <c r="S22" s="209">
        <v>0.22</v>
      </c>
      <c r="T22" s="209">
        <v>0.22</v>
      </c>
      <c r="U22" s="209">
        <v>0.22</v>
      </c>
      <c r="V22" s="209">
        <v>0.22</v>
      </c>
      <c r="W22" s="209">
        <v>0.22</v>
      </c>
      <c r="X22" s="209">
        <v>0.25</v>
      </c>
      <c r="Y22" s="105"/>
      <c r="Z22" s="2"/>
      <c r="AA22" s="2"/>
      <c r="AB22" s="2"/>
      <c r="AC22" s="2"/>
      <c r="AD22" s="2"/>
      <c r="AE22" s="2"/>
      <c r="AF22" s="2"/>
      <c r="AG22" s="2"/>
      <c r="AH22" s="2"/>
      <c r="AI22" s="2"/>
      <c r="AJ22" s="2"/>
      <c r="AK22" s="2"/>
      <c r="AL22" s="2"/>
      <c r="AM22" s="2"/>
      <c r="AN22" s="2"/>
      <c r="AO22" s="2"/>
      <c r="AP22" s="2"/>
      <c r="AQ22" s="2"/>
      <c r="AR22" s="2"/>
      <c r="AS22" s="2"/>
      <c r="AT22" s="2"/>
      <c r="AU22" s="2"/>
      <c r="AV22" s="2"/>
      <c r="AW22" s="2"/>
      <c r="AX22" s="2"/>
      <c r="AY22" s="2"/>
      <c r="AZ22" s="2"/>
      <c r="BA22" s="2"/>
      <c r="BB22" s="2"/>
      <c r="BC22" s="2"/>
      <c r="BD22" s="2"/>
      <c r="BE22" s="2"/>
      <c r="BF22" s="2"/>
      <c r="BG22" s="2"/>
      <c r="BH22" s="2"/>
      <c r="BI22" s="2"/>
      <c r="BJ22" s="2"/>
      <c r="BK22" s="2"/>
      <c r="BL22" s="2"/>
      <c r="BM22" s="2"/>
      <c r="BN22" s="2"/>
      <c r="BO22" s="2"/>
    </row>
    <row r="23" spans="1:67" ht="13.9" customHeight="1" x14ac:dyDescent="0.2">
      <c r="A23" s="580" t="s">
        <v>228</v>
      </c>
      <c r="B23" s="570" t="s">
        <v>41</v>
      </c>
      <c r="C23" s="570" t="s">
        <v>228</v>
      </c>
      <c r="D23" s="573" t="s">
        <v>229</v>
      </c>
      <c r="E23" s="580" t="s">
        <v>203</v>
      </c>
      <c r="F23" s="494" t="s">
        <v>204</v>
      </c>
      <c r="G23" s="494">
        <v>1992</v>
      </c>
      <c r="H23" s="572" t="s">
        <v>230</v>
      </c>
      <c r="I23" s="46">
        <v>0.85</v>
      </c>
      <c r="J23" s="46">
        <v>1.31</v>
      </c>
      <c r="K23" s="46">
        <v>1.31</v>
      </c>
      <c r="L23" s="46">
        <v>1.31</v>
      </c>
      <c r="M23" s="46">
        <v>1.31</v>
      </c>
      <c r="N23" s="46">
        <v>1.31</v>
      </c>
      <c r="O23" s="46">
        <v>1.31</v>
      </c>
      <c r="P23" s="46">
        <v>1.31</v>
      </c>
      <c r="Q23" s="46">
        <v>1.31</v>
      </c>
      <c r="R23" s="46">
        <v>1.31</v>
      </c>
      <c r="S23" s="46">
        <v>0.85</v>
      </c>
      <c r="T23" s="46">
        <v>0.85</v>
      </c>
      <c r="U23" s="46">
        <v>0.85</v>
      </c>
      <c r="V23" s="46">
        <v>0.85</v>
      </c>
      <c r="W23" s="46">
        <v>0.85</v>
      </c>
      <c r="X23" s="46">
        <v>0.85</v>
      </c>
      <c r="Y23" s="105"/>
      <c r="Z23" s="2"/>
      <c r="AA23" s="2"/>
      <c r="AB23" s="2"/>
      <c r="AC23" s="2"/>
      <c r="AD23" s="2"/>
      <c r="AE23" s="2"/>
      <c r="AF23" s="2"/>
      <c r="AG23" s="2"/>
      <c r="AH23" s="2"/>
      <c r="AI23" s="2"/>
      <c r="AJ23" s="2"/>
      <c r="AK23" s="2"/>
      <c r="AL23" s="2"/>
      <c r="AM23" s="2"/>
      <c r="AN23" s="2"/>
      <c r="AO23" s="2"/>
      <c r="AP23" s="2"/>
      <c r="AQ23" s="2"/>
      <c r="AR23" s="2"/>
      <c r="AS23" s="2"/>
      <c r="AT23" s="2"/>
      <c r="AU23" s="2"/>
      <c r="AV23" s="2"/>
      <c r="AW23" s="2"/>
      <c r="AX23" s="2"/>
      <c r="AY23" s="2"/>
      <c r="AZ23" s="2"/>
      <c r="BA23" s="2"/>
      <c r="BB23" s="2"/>
      <c r="BC23" s="2"/>
      <c r="BD23" s="2"/>
      <c r="BE23" s="2"/>
      <c r="BF23" s="2"/>
      <c r="BG23" s="2"/>
      <c r="BH23" s="2"/>
      <c r="BI23" s="2"/>
      <c r="BJ23" s="2"/>
      <c r="BK23" s="2"/>
      <c r="BL23" s="2"/>
      <c r="BM23" s="2"/>
      <c r="BN23" s="2"/>
      <c r="BO23" s="2"/>
    </row>
    <row r="24" spans="1:67" ht="13.9" customHeight="1" x14ac:dyDescent="0.2">
      <c r="A24" s="580"/>
      <c r="B24" s="582"/>
      <c r="C24" s="582"/>
      <c r="D24" s="574"/>
      <c r="E24" s="580"/>
      <c r="F24" s="212" t="s">
        <v>207</v>
      </c>
      <c r="G24" s="212">
        <v>1992</v>
      </c>
      <c r="H24" s="571"/>
      <c r="I24" s="215">
        <f t="shared" ref="I24:X24" si="6">I23</f>
        <v>0.85</v>
      </c>
      <c r="J24" s="215">
        <f t="shared" si="6"/>
        <v>1.31</v>
      </c>
      <c r="K24" s="215">
        <f t="shared" si="6"/>
        <v>1.31</v>
      </c>
      <c r="L24" s="215">
        <f t="shared" si="6"/>
        <v>1.31</v>
      </c>
      <c r="M24" s="215">
        <f t="shared" si="6"/>
        <v>1.31</v>
      </c>
      <c r="N24" s="215">
        <f t="shared" si="6"/>
        <v>1.31</v>
      </c>
      <c r="O24" s="215">
        <f t="shared" si="6"/>
        <v>1.31</v>
      </c>
      <c r="P24" s="215">
        <f t="shared" si="6"/>
        <v>1.31</v>
      </c>
      <c r="Q24" s="215">
        <f t="shared" si="6"/>
        <v>1.31</v>
      </c>
      <c r="R24" s="215">
        <f t="shared" si="6"/>
        <v>1.31</v>
      </c>
      <c r="S24" s="215">
        <f t="shared" si="6"/>
        <v>0.85</v>
      </c>
      <c r="T24" s="215">
        <f t="shared" si="6"/>
        <v>0.85</v>
      </c>
      <c r="U24" s="215">
        <f t="shared" si="6"/>
        <v>0.85</v>
      </c>
      <c r="V24" s="215">
        <f t="shared" si="6"/>
        <v>0.85</v>
      </c>
      <c r="W24" s="215">
        <f t="shared" si="6"/>
        <v>0.85</v>
      </c>
      <c r="X24" s="215">
        <f t="shared" si="6"/>
        <v>0.85</v>
      </c>
      <c r="Y24" s="105"/>
      <c r="Z24" s="2"/>
      <c r="AA24" s="2"/>
      <c r="AB24" s="2"/>
      <c r="AC24" s="2"/>
      <c r="AD24" s="2"/>
      <c r="AE24" s="2"/>
      <c r="AF24" s="2"/>
      <c r="AG24" s="2"/>
      <c r="AH24" s="2"/>
      <c r="AI24" s="2"/>
      <c r="AJ24" s="2"/>
      <c r="AK24" s="2"/>
      <c r="AL24" s="2"/>
      <c r="AM24" s="2"/>
      <c r="AN24" s="2"/>
      <c r="AO24" s="2"/>
      <c r="AP24" s="2"/>
      <c r="AQ24" s="2"/>
      <c r="AR24" s="2"/>
      <c r="AS24" s="2"/>
      <c r="AT24" s="2"/>
      <c r="AU24" s="2"/>
      <c r="AV24" s="2"/>
      <c r="AW24" s="2"/>
      <c r="AX24" s="2"/>
      <c r="AY24" s="2"/>
      <c r="AZ24" s="2"/>
      <c r="BA24" s="2"/>
      <c r="BB24" s="2"/>
      <c r="BC24" s="2"/>
      <c r="BD24" s="2"/>
      <c r="BE24" s="2"/>
      <c r="BF24" s="2"/>
      <c r="BG24" s="2"/>
      <c r="BH24" s="2"/>
      <c r="BI24" s="2"/>
      <c r="BJ24" s="2"/>
      <c r="BK24" s="2"/>
      <c r="BL24" s="2"/>
      <c r="BM24" s="2"/>
      <c r="BN24" s="2"/>
      <c r="BO24" s="2"/>
    </row>
    <row r="25" spans="1:67" ht="13.9" customHeight="1" x14ac:dyDescent="0.2">
      <c r="A25" s="580"/>
      <c r="B25" s="582"/>
      <c r="C25" s="582"/>
      <c r="D25" s="573" t="s">
        <v>231</v>
      </c>
      <c r="E25" s="580"/>
      <c r="F25" s="217" t="s">
        <v>209</v>
      </c>
      <c r="G25" s="217">
        <v>2001</v>
      </c>
      <c r="H25" s="217" t="s">
        <v>218</v>
      </c>
      <c r="I25" s="217">
        <v>0.87</v>
      </c>
      <c r="J25" s="217">
        <v>1.1000000000000001</v>
      </c>
      <c r="K25" s="217">
        <v>1.3</v>
      </c>
      <c r="L25" s="217">
        <v>1.3</v>
      </c>
      <c r="M25" s="217">
        <v>1.3</v>
      </c>
      <c r="N25" s="217">
        <v>1.3</v>
      </c>
      <c r="O25" s="217">
        <v>1.3</v>
      </c>
      <c r="P25" s="217">
        <v>1.3</v>
      </c>
      <c r="Q25" s="217">
        <v>1.3</v>
      </c>
      <c r="R25" s="217">
        <v>1.1000000000000001</v>
      </c>
      <c r="S25" s="217">
        <v>1.1000000000000001</v>
      </c>
      <c r="T25" s="217">
        <v>1.1000000000000001</v>
      </c>
      <c r="U25" s="217">
        <v>1.1000000000000001</v>
      </c>
      <c r="V25" s="217">
        <v>1.1000000000000001</v>
      </c>
      <c r="W25" s="217">
        <v>1.1000000000000001</v>
      </c>
      <c r="X25" s="217">
        <v>0.87</v>
      </c>
      <c r="Y25" s="105"/>
      <c r="Z25" s="2"/>
      <c r="AA25" s="2"/>
      <c r="AB25" s="2"/>
      <c r="AC25" s="2"/>
      <c r="AD25" s="2"/>
      <c r="AE25" s="2"/>
      <c r="AF25" s="2"/>
      <c r="AG25" s="2"/>
      <c r="AH25" s="2"/>
      <c r="AI25" s="2"/>
      <c r="AJ25" s="2"/>
      <c r="AK25" s="2"/>
      <c r="AL25" s="2"/>
      <c r="AM25" s="2"/>
      <c r="AN25" s="2"/>
      <c r="AO25" s="2"/>
      <c r="AP25" s="2"/>
      <c r="AQ25" s="2"/>
      <c r="AR25" s="2"/>
      <c r="AS25" s="2"/>
      <c r="AT25" s="2"/>
      <c r="AU25" s="2"/>
      <c r="AV25" s="2"/>
      <c r="AW25" s="2"/>
      <c r="AX25" s="2"/>
      <c r="AY25" s="2"/>
      <c r="AZ25" s="2"/>
      <c r="BA25" s="2"/>
      <c r="BB25" s="2"/>
      <c r="BC25" s="2"/>
      <c r="BD25" s="2"/>
      <c r="BE25" s="2"/>
      <c r="BF25" s="2"/>
      <c r="BG25" s="2"/>
      <c r="BH25" s="2"/>
      <c r="BI25" s="2"/>
      <c r="BJ25" s="2"/>
      <c r="BK25" s="2"/>
      <c r="BL25" s="2"/>
      <c r="BM25" s="2"/>
      <c r="BN25" s="2"/>
      <c r="BO25" s="2"/>
    </row>
    <row r="26" spans="1:67" ht="13.9" customHeight="1" x14ac:dyDescent="0.2">
      <c r="A26" s="580"/>
      <c r="B26" s="582"/>
      <c r="C26" s="582"/>
      <c r="D26" s="575"/>
      <c r="E26" s="580"/>
      <c r="F26" s="210" t="s">
        <v>211</v>
      </c>
      <c r="G26" s="210">
        <v>2013</v>
      </c>
      <c r="H26" s="210" t="s">
        <v>212</v>
      </c>
      <c r="I26" s="210">
        <v>0.88</v>
      </c>
      <c r="J26" s="210">
        <v>0.88</v>
      </c>
      <c r="K26" s="210">
        <v>0.88</v>
      </c>
      <c r="L26" s="210">
        <v>0.88</v>
      </c>
      <c r="M26" s="210">
        <v>0.88</v>
      </c>
      <c r="N26" s="210">
        <v>0.88</v>
      </c>
      <c r="O26" s="210">
        <v>0.88</v>
      </c>
      <c r="P26" s="210">
        <v>0.88</v>
      </c>
      <c r="Q26" s="210">
        <v>0.88</v>
      </c>
      <c r="R26" s="210">
        <v>0.88</v>
      </c>
      <c r="S26" s="210">
        <v>0.88</v>
      </c>
      <c r="T26" s="210">
        <v>0.88</v>
      </c>
      <c r="U26" s="210">
        <v>0.88</v>
      </c>
      <c r="V26" s="210">
        <v>0.88</v>
      </c>
      <c r="W26" s="210">
        <v>0.88</v>
      </c>
      <c r="X26" s="210">
        <v>0.88</v>
      </c>
      <c r="Y26" s="105"/>
      <c r="Z26" s="2"/>
      <c r="AA26" s="2"/>
      <c r="AB26" s="2"/>
      <c r="AC26" s="2"/>
      <c r="AD26" s="2"/>
      <c r="AE26" s="2"/>
      <c r="AF26" s="2"/>
      <c r="AG26" s="2"/>
      <c r="AH26" s="2"/>
      <c r="AI26" s="2"/>
      <c r="AJ26" s="2"/>
      <c r="AK26" s="2"/>
      <c r="AL26" s="2"/>
      <c r="AM26" s="2"/>
      <c r="AN26" s="2"/>
      <c r="AO26" s="2"/>
      <c r="AP26" s="2"/>
      <c r="AQ26" s="2"/>
      <c r="AR26" s="2"/>
      <c r="AS26" s="2"/>
      <c r="AT26" s="2"/>
      <c r="AU26" s="2"/>
      <c r="AV26" s="2"/>
      <c r="AW26" s="2"/>
      <c r="AX26" s="2"/>
      <c r="AY26" s="2"/>
      <c r="AZ26" s="2"/>
      <c r="BA26" s="2"/>
      <c r="BB26" s="2"/>
      <c r="BC26" s="2"/>
      <c r="BD26" s="2"/>
      <c r="BE26" s="2"/>
      <c r="BF26" s="2"/>
      <c r="BG26" s="2"/>
      <c r="BH26" s="2"/>
      <c r="BI26" s="2"/>
      <c r="BJ26" s="2"/>
      <c r="BK26" s="2"/>
      <c r="BL26" s="2"/>
      <c r="BM26" s="2"/>
      <c r="BN26" s="2"/>
      <c r="BO26" s="2"/>
    </row>
    <row r="27" spans="1:67" ht="13.9" customHeight="1" x14ac:dyDescent="0.2">
      <c r="A27" s="580"/>
      <c r="B27" s="582"/>
      <c r="C27" s="582"/>
      <c r="D27" s="574"/>
      <c r="E27" s="580"/>
      <c r="F27" s="208" t="s">
        <v>213</v>
      </c>
      <c r="G27" s="209">
        <v>2025</v>
      </c>
      <c r="H27" s="209" t="s">
        <v>212</v>
      </c>
      <c r="I27" s="208">
        <v>0.88</v>
      </c>
      <c r="J27" s="208">
        <v>0.88</v>
      </c>
      <c r="K27" s="208">
        <v>0.88</v>
      </c>
      <c r="L27" s="208">
        <v>0.88</v>
      </c>
      <c r="M27" s="208">
        <v>0.88</v>
      </c>
      <c r="N27" s="208">
        <v>0.88</v>
      </c>
      <c r="O27" s="208">
        <v>0.88</v>
      </c>
      <c r="P27" s="208">
        <v>0.88</v>
      </c>
      <c r="Q27" s="208">
        <v>0.88</v>
      </c>
      <c r="R27" s="208">
        <v>0.88</v>
      </c>
      <c r="S27" s="208">
        <v>0.88</v>
      </c>
      <c r="T27" s="208">
        <v>0.88</v>
      </c>
      <c r="U27" s="208">
        <v>0.88</v>
      </c>
      <c r="V27" s="208">
        <v>0.88</v>
      </c>
      <c r="W27" s="208">
        <v>0.88</v>
      </c>
      <c r="X27" s="208">
        <v>0.88</v>
      </c>
      <c r="Y27" s="105"/>
      <c r="Z27" s="2"/>
      <c r="AA27" s="2"/>
      <c r="AB27" s="2"/>
      <c r="AC27" s="2"/>
      <c r="AD27" s="2"/>
      <c r="AE27" s="2"/>
      <c r="AF27" s="2"/>
      <c r="AG27" s="2"/>
      <c r="AH27" s="2"/>
      <c r="AI27" s="2"/>
      <c r="AJ27" s="2"/>
      <c r="AK27" s="2"/>
      <c r="AL27" s="2"/>
      <c r="AM27" s="2"/>
      <c r="AN27" s="2"/>
      <c r="AO27" s="2"/>
      <c r="AP27" s="2"/>
      <c r="AQ27" s="2"/>
      <c r="AR27" s="2"/>
      <c r="AS27" s="2"/>
      <c r="AT27" s="2"/>
      <c r="AU27" s="2"/>
      <c r="AV27" s="2"/>
      <c r="AW27" s="2"/>
      <c r="AX27" s="2"/>
      <c r="AY27" s="2"/>
      <c r="AZ27" s="2"/>
      <c r="BA27" s="2"/>
      <c r="BB27" s="2"/>
      <c r="BC27" s="2"/>
      <c r="BD27" s="2"/>
      <c r="BE27" s="2"/>
      <c r="BF27" s="2"/>
      <c r="BG27" s="2"/>
      <c r="BH27" s="2"/>
      <c r="BI27" s="2"/>
      <c r="BJ27" s="2"/>
      <c r="BK27" s="2"/>
      <c r="BL27" s="2"/>
      <c r="BM27" s="2"/>
      <c r="BN27" s="2"/>
      <c r="BO27" s="2"/>
    </row>
    <row r="28" spans="1:67" ht="13.9" customHeight="1" x14ac:dyDescent="0.2">
      <c r="A28" s="580"/>
      <c r="B28" s="582"/>
      <c r="C28" s="582"/>
      <c r="D28" s="573" t="s">
        <v>229</v>
      </c>
      <c r="E28" s="580" t="s">
        <v>225</v>
      </c>
      <c r="F28" s="494" t="s">
        <v>204</v>
      </c>
      <c r="G28" s="494">
        <v>1992</v>
      </c>
      <c r="H28" s="570" t="s">
        <v>232</v>
      </c>
      <c r="I28" s="46">
        <v>0.81</v>
      </c>
      <c r="J28" s="46">
        <v>0.86</v>
      </c>
      <c r="K28" s="46">
        <v>0.86</v>
      </c>
      <c r="L28" s="46">
        <v>0.86</v>
      </c>
      <c r="M28" s="46">
        <v>0.86</v>
      </c>
      <c r="N28" s="46">
        <v>0.86</v>
      </c>
      <c r="O28" s="46">
        <v>0.86</v>
      </c>
      <c r="P28" s="46">
        <v>0.86</v>
      </c>
      <c r="Q28" s="46">
        <v>0.86</v>
      </c>
      <c r="R28" s="46">
        <v>0.86</v>
      </c>
      <c r="S28" s="46">
        <v>0.81</v>
      </c>
      <c r="T28" s="46">
        <v>0.81</v>
      </c>
      <c r="U28" s="46">
        <v>0.81</v>
      </c>
      <c r="V28" s="46">
        <v>0.81</v>
      </c>
      <c r="W28" s="46">
        <v>0.81</v>
      </c>
      <c r="X28" s="46">
        <v>0.81</v>
      </c>
      <c r="Y28" s="105"/>
      <c r="Z28" s="2"/>
      <c r="AA28" s="2"/>
      <c r="AB28" s="2"/>
      <c r="AC28" s="2"/>
      <c r="AD28" s="2"/>
      <c r="AE28" s="2"/>
      <c r="AF28" s="2"/>
      <c r="AG28" s="2"/>
      <c r="AH28" s="2"/>
      <c r="AI28" s="2"/>
      <c r="AJ28" s="2"/>
      <c r="AK28" s="2"/>
      <c r="AL28" s="2"/>
      <c r="AM28" s="2"/>
      <c r="AN28" s="2"/>
      <c r="AO28" s="2"/>
      <c r="AP28" s="2"/>
      <c r="AQ28" s="2"/>
      <c r="AR28" s="2"/>
      <c r="AS28" s="2"/>
      <c r="AT28" s="2"/>
      <c r="AU28" s="2"/>
      <c r="AV28" s="2"/>
      <c r="AW28" s="2"/>
      <c r="AX28" s="2"/>
      <c r="AY28" s="2"/>
      <c r="AZ28" s="2"/>
      <c r="BA28" s="2"/>
      <c r="BB28" s="2"/>
      <c r="BC28" s="2"/>
      <c r="BD28" s="2"/>
      <c r="BE28" s="2"/>
      <c r="BF28" s="2"/>
      <c r="BG28" s="2"/>
      <c r="BH28" s="2"/>
      <c r="BI28" s="2"/>
      <c r="BJ28" s="2"/>
      <c r="BK28" s="2"/>
      <c r="BL28" s="2"/>
      <c r="BM28" s="2"/>
      <c r="BN28" s="2"/>
      <c r="BO28" s="2"/>
    </row>
    <row r="29" spans="1:67" ht="13.9" customHeight="1" x14ac:dyDescent="0.2">
      <c r="A29" s="580"/>
      <c r="B29" s="582"/>
      <c r="C29" s="582"/>
      <c r="D29" s="574"/>
      <c r="E29" s="580"/>
      <c r="F29" s="212" t="s">
        <v>207</v>
      </c>
      <c r="G29" s="212">
        <v>1992</v>
      </c>
      <c r="H29" s="571"/>
      <c r="I29" s="212">
        <f t="shared" ref="I29:X29" si="7">I28</f>
        <v>0.81</v>
      </c>
      <c r="J29" s="212">
        <f t="shared" si="7"/>
        <v>0.86</v>
      </c>
      <c r="K29" s="212">
        <f t="shared" si="7"/>
        <v>0.86</v>
      </c>
      <c r="L29" s="212">
        <f t="shared" si="7"/>
        <v>0.86</v>
      </c>
      <c r="M29" s="212">
        <f t="shared" si="7"/>
        <v>0.86</v>
      </c>
      <c r="N29" s="212">
        <f t="shared" si="7"/>
        <v>0.86</v>
      </c>
      <c r="O29" s="212">
        <f t="shared" si="7"/>
        <v>0.86</v>
      </c>
      <c r="P29" s="212">
        <f t="shared" si="7"/>
        <v>0.86</v>
      </c>
      <c r="Q29" s="212">
        <f t="shared" si="7"/>
        <v>0.86</v>
      </c>
      <c r="R29" s="212">
        <f t="shared" si="7"/>
        <v>0.86</v>
      </c>
      <c r="S29" s="212">
        <f t="shared" si="7"/>
        <v>0.81</v>
      </c>
      <c r="T29" s="212">
        <f t="shared" si="7"/>
        <v>0.81</v>
      </c>
      <c r="U29" s="212">
        <f t="shared" si="7"/>
        <v>0.81</v>
      </c>
      <c r="V29" s="212">
        <f t="shared" si="7"/>
        <v>0.81</v>
      </c>
      <c r="W29" s="212">
        <f t="shared" si="7"/>
        <v>0.81</v>
      </c>
      <c r="X29" s="212">
        <f t="shared" si="7"/>
        <v>0.81</v>
      </c>
      <c r="Y29" s="105"/>
      <c r="Z29" s="2"/>
      <c r="AA29" s="2"/>
      <c r="AB29" s="2"/>
      <c r="AC29" s="2"/>
      <c r="AD29" s="2"/>
      <c r="AE29" s="2"/>
      <c r="AF29" s="2"/>
      <c r="AG29" s="2"/>
      <c r="AH29" s="2"/>
      <c r="AI29" s="2"/>
      <c r="AJ29" s="2"/>
      <c r="AK29" s="2"/>
      <c r="AL29" s="2"/>
      <c r="AM29" s="2"/>
      <c r="AN29" s="2"/>
      <c r="AO29" s="2"/>
      <c r="AP29" s="2"/>
      <c r="AQ29" s="2"/>
      <c r="AR29" s="2"/>
      <c r="AS29" s="2"/>
      <c r="AT29" s="2"/>
      <c r="AU29" s="2"/>
      <c r="AV29" s="2"/>
      <c r="AW29" s="2"/>
      <c r="AX29" s="2"/>
      <c r="AY29" s="2"/>
      <c r="AZ29" s="2"/>
      <c r="BA29" s="2"/>
      <c r="BB29" s="2"/>
      <c r="BC29" s="2"/>
      <c r="BD29" s="2"/>
      <c r="BE29" s="2"/>
      <c r="BF29" s="2"/>
      <c r="BG29" s="2"/>
      <c r="BH29" s="2"/>
      <c r="BI29" s="2"/>
      <c r="BJ29" s="2"/>
      <c r="BK29" s="2"/>
      <c r="BL29" s="2"/>
      <c r="BM29" s="2"/>
      <c r="BN29" s="2"/>
      <c r="BO29" s="2"/>
    </row>
    <row r="30" spans="1:67" ht="13.9" customHeight="1" x14ac:dyDescent="0.2">
      <c r="A30" s="580"/>
      <c r="B30" s="582"/>
      <c r="C30" s="582"/>
      <c r="D30" s="573" t="s">
        <v>231</v>
      </c>
      <c r="E30" s="580"/>
      <c r="F30" s="211" t="s">
        <v>209</v>
      </c>
      <c r="G30" s="211">
        <v>2001</v>
      </c>
      <c r="H30" s="217" t="s">
        <v>233</v>
      </c>
      <c r="I30" s="217">
        <v>0.57999999999999996</v>
      </c>
      <c r="J30" s="217">
        <v>0.62</v>
      </c>
      <c r="K30" s="217">
        <v>0.65</v>
      </c>
      <c r="L30" s="217">
        <v>0.65</v>
      </c>
      <c r="M30" s="217">
        <v>0.65</v>
      </c>
      <c r="N30" s="217">
        <v>0.62</v>
      </c>
      <c r="O30" s="217">
        <v>0.62</v>
      </c>
      <c r="P30" s="217">
        <v>0.62</v>
      </c>
      <c r="Q30" s="217">
        <v>0.62</v>
      </c>
      <c r="R30" s="217">
        <v>0.62</v>
      </c>
      <c r="S30" s="217">
        <v>0.62</v>
      </c>
      <c r="T30" s="217">
        <v>0.62</v>
      </c>
      <c r="U30" s="217">
        <v>0.62</v>
      </c>
      <c r="V30" s="217">
        <v>0.57999999999999996</v>
      </c>
      <c r="W30" s="217">
        <v>0.57999999999999996</v>
      </c>
      <c r="X30" s="217">
        <v>0.57999999999999996</v>
      </c>
      <c r="Y30" s="105"/>
      <c r="Z30" s="2"/>
      <c r="AA30" s="2"/>
      <c r="AB30" s="2"/>
      <c r="AC30" s="2"/>
      <c r="AD30" s="2"/>
      <c r="AE30" s="2"/>
      <c r="AF30" s="2"/>
      <c r="AG30" s="2"/>
      <c r="AH30" s="2"/>
      <c r="AI30" s="2"/>
      <c r="AJ30" s="2"/>
      <c r="AK30" s="2"/>
      <c r="AL30" s="2"/>
      <c r="AM30" s="2"/>
      <c r="AN30" s="2"/>
      <c r="AO30" s="2"/>
      <c r="AP30" s="2"/>
      <c r="AQ30" s="2"/>
      <c r="AR30" s="2"/>
      <c r="AS30" s="2"/>
      <c r="AT30" s="2"/>
      <c r="AU30" s="2"/>
      <c r="AV30" s="2"/>
      <c r="AW30" s="2"/>
      <c r="AX30" s="2"/>
      <c r="AY30" s="2"/>
      <c r="AZ30" s="2"/>
      <c r="BA30" s="2"/>
      <c r="BB30" s="2"/>
      <c r="BC30" s="2"/>
      <c r="BD30" s="2"/>
      <c r="BE30" s="2"/>
      <c r="BF30" s="2"/>
      <c r="BG30" s="2"/>
      <c r="BH30" s="2"/>
      <c r="BI30" s="2"/>
      <c r="BJ30" s="2"/>
      <c r="BK30" s="2"/>
      <c r="BL30" s="2"/>
      <c r="BM30" s="2"/>
      <c r="BN30" s="2"/>
      <c r="BO30" s="2"/>
    </row>
    <row r="31" spans="1:67" ht="13.9" customHeight="1" x14ac:dyDescent="0.2">
      <c r="A31" s="580"/>
      <c r="B31" s="582"/>
      <c r="C31" s="582"/>
      <c r="D31" s="575"/>
      <c r="E31" s="580"/>
      <c r="F31" s="210" t="s">
        <v>211</v>
      </c>
      <c r="G31" s="210">
        <v>2013</v>
      </c>
      <c r="H31" s="591" t="s">
        <v>234</v>
      </c>
      <c r="I31" s="210">
        <f t="shared" ref="I31:X31" si="8">I30</f>
        <v>0.57999999999999996</v>
      </c>
      <c r="J31" s="210">
        <f t="shared" si="8"/>
        <v>0.62</v>
      </c>
      <c r="K31" s="210">
        <f t="shared" si="8"/>
        <v>0.65</v>
      </c>
      <c r="L31" s="210">
        <f t="shared" si="8"/>
        <v>0.65</v>
      </c>
      <c r="M31" s="210">
        <f t="shared" si="8"/>
        <v>0.65</v>
      </c>
      <c r="N31" s="210">
        <f t="shared" si="8"/>
        <v>0.62</v>
      </c>
      <c r="O31" s="210">
        <f t="shared" si="8"/>
        <v>0.62</v>
      </c>
      <c r="P31" s="210">
        <f t="shared" si="8"/>
        <v>0.62</v>
      </c>
      <c r="Q31" s="210">
        <f t="shared" si="8"/>
        <v>0.62</v>
      </c>
      <c r="R31" s="210">
        <f t="shared" si="8"/>
        <v>0.62</v>
      </c>
      <c r="S31" s="210">
        <f t="shared" si="8"/>
        <v>0.62</v>
      </c>
      <c r="T31" s="210">
        <f t="shared" si="8"/>
        <v>0.62</v>
      </c>
      <c r="U31" s="210">
        <f t="shared" si="8"/>
        <v>0.62</v>
      </c>
      <c r="V31" s="210">
        <f t="shared" si="8"/>
        <v>0.57999999999999996</v>
      </c>
      <c r="W31" s="210">
        <f t="shared" si="8"/>
        <v>0.57999999999999996</v>
      </c>
      <c r="X31" s="210">
        <f t="shared" si="8"/>
        <v>0.57999999999999996</v>
      </c>
      <c r="Y31" s="105"/>
      <c r="Z31" s="2"/>
      <c r="AA31" s="2"/>
      <c r="AB31" s="2"/>
      <c r="AC31" s="2"/>
      <c r="AD31" s="2"/>
      <c r="AE31" s="2"/>
      <c r="AF31" s="2"/>
      <c r="AG31" s="2"/>
      <c r="AH31" s="2"/>
      <c r="AI31" s="2"/>
      <c r="AJ31" s="2"/>
      <c r="AK31" s="2"/>
      <c r="AL31" s="2"/>
      <c r="AM31" s="2"/>
      <c r="AN31" s="2"/>
      <c r="AO31" s="2"/>
      <c r="AP31" s="2"/>
      <c r="AQ31" s="2"/>
      <c r="AR31" s="2"/>
      <c r="AS31" s="2"/>
      <c r="AT31" s="2"/>
      <c r="AU31" s="2"/>
      <c r="AV31" s="2"/>
      <c r="AW31" s="2"/>
      <c r="AX31" s="2"/>
      <c r="AY31" s="2"/>
      <c r="AZ31" s="2"/>
      <c r="BA31" s="2"/>
      <c r="BB31" s="2"/>
      <c r="BC31" s="2"/>
      <c r="BD31" s="2"/>
      <c r="BE31" s="2"/>
      <c r="BF31" s="2"/>
      <c r="BG31" s="2"/>
      <c r="BH31" s="2"/>
      <c r="BI31" s="2"/>
      <c r="BJ31" s="2"/>
      <c r="BK31" s="2"/>
      <c r="BL31" s="2"/>
      <c r="BM31" s="2"/>
      <c r="BN31" s="2"/>
      <c r="BO31" s="2"/>
    </row>
    <row r="32" spans="1:67" ht="13.9" customHeight="1" x14ac:dyDescent="0.2">
      <c r="A32" s="580"/>
      <c r="B32" s="571"/>
      <c r="C32" s="571"/>
      <c r="D32" s="574"/>
      <c r="E32" s="580"/>
      <c r="F32" s="208" t="s">
        <v>213</v>
      </c>
      <c r="G32" s="209">
        <v>2025</v>
      </c>
      <c r="H32" s="592"/>
      <c r="I32" s="208">
        <f t="shared" ref="I32:X32" si="9">I30</f>
        <v>0.57999999999999996</v>
      </c>
      <c r="J32" s="208">
        <f t="shared" si="9"/>
        <v>0.62</v>
      </c>
      <c r="K32" s="208">
        <f t="shared" si="9"/>
        <v>0.65</v>
      </c>
      <c r="L32" s="208">
        <f t="shared" si="9"/>
        <v>0.65</v>
      </c>
      <c r="M32" s="208">
        <f t="shared" si="9"/>
        <v>0.65</v>
      </c>
      <c r="N32" s="208">
        <f t="shared" si="9"/>
        <v>0.62</v>
      </c>
      <c r="O32" s="208">
        <f t="shared" si="9"/>
        <v>0.62</v>
      </c>
      <c r="P32" s="208">
        <f t="shared" si="9"/>
        <v>0.62</v>
      </c>
      <c r="Q32" s="208">
        <f t="shared" si="9"/>
        <v>0.62</v>
      </c>
      <c r="R32" s="208">
        <f t="shared" si="9"/>
        <v>0.62</v>
      </c>
      <c r="S32" s="208">
        <f t="shared" si="9"/>
        <v>0.62</v>
      </c>
      <c r="T32" s="208">
        <f t="shared" si="9"/>
        <v>0.62</v>
      </c>
      <c r="U32" s="208">
        <f t="shared" si="9"/>
        <v>0.62</v>
      </c>
      <c r="V32" s="208">
        <f t="shared" si="9"/>
        <v>0.57999999999999996</v>
      </c>
      <c r="W32" s="208">
        <f t="shared" si="9"/>
        <v>0.57999999999999996</v>
      </c>
      <c r="X32" s="208">
        <f t="shared" si="9"/>
        <v>0.57999999999999996</v>
      </c>
      <c r="Y32" s="105"/>
      <c r="Z32" s="2"/>
      <c r="AA32" s="2"/>
      <c r="AB32" s="2"/>
      <c r="AC32" s="2"/>
      <c r="AD32" s="2"/>
      <c r="AE32" s="2"/>
      <c r="AF32" s="2"/>
      <c r="AG32" s="2"/>
      <c r="AH32" s="2"/>
      <c r="AI32" s="2"/>
      <c r="AJ32" s="2"/>
      <c r="AK32" s="2"/>
      <c r="AL32" s="2"/>
      <c r="AM32" s="2"/>
      <c r="AN32" s="2"/>
      <c r="AO32" s="2"/>
      <c r="AP32" s="2"/>
      <c r="AQ32" s="2"/>
      <c r="AR32" s="2"/>
      <c r="AS32" s="2"/>
      <c r="AT32" s="2"/>
      <c r="AU32" s="2"/>
      <c r="AV32" s="2"/>
      <c r="AW32" s="2"/>
      <c r="AX32" s="2"/>
      <c r="AY32" s="2"/>
      <c r="AZ32" s="2"/>
      <c r="BA32" s="2"/>
      <c r="BB32" s="2"/>
      <c r="BC32" s="2"/>
      <c r="BD32" s="2"/>
      <c r="BE32" s="2"/>
      <c r="BF32" s="2"/>
      <c r="BG32" s="2"/>
      <c r="BH32" s="2"/>
      <c r="BI32" s="2"/>
      <c r="BJ32" s="2"/>
      <c r="BK32" s="2"/>
      <c r="BL32" s="2"/>
      <c r="BM32" s="2"/>
      <c r="BN32" s="2"/>
      <c r="BO32" s="2"/>
    </row>
    <row r="33" spans="1:67" ht="15.75" customHeight="1" x14ac:dyDescent="0.2">
      <c r="A33" s="4"/>
      <c r="B33" s="9"/>
      <c r="C33" s="4"/>
      <c r="D33" s="4"/>
      <c r="E33" s="107"/>
      <c r="F33" s="107"/>
      <c r="G33" s="108"/>
      <c r="H33" s="107"/>
      <c r="I33" s="107"/>
      <c r="J33" s="107"/>
      <c r="K33" s="107"/>
      <c r="L33" s="107"/>
      <c r="M33" s="107"/>
      <c r="N33" s="107"/>
      <c r="O33" s="107"/>
      <c r="P33" s="107"/>
      <c r="Q33" s="107"/>
      <c r="R33" s="107"/>
      <c r="S33" s="107"/>
      <c r="T33" s="107"/>
      <c r="U33" s="107"/>
      <c r="V33" s="107"/>
      <c r="W33" s="107"/>
      <c r="X33" s="107"/>
      <c r="Y33" s="2"/>
      <c r="Z33" s="2"/>
      <c r="AA33" s="2"/>
      <c r="AB33" s="2"/>
      <c r="AC33" s="2"/>
      <c r="AD33" s="2"/>
      <c r="AE33" s="2"/>
      <c r="AF33" s="2"/>
      <c r="AG33" s="2"/>
      <c r="AH33" s="2"/>
      <c r="AI33" s="2"/>
      <c r="AJ33" s="2"/>
      <c r="AK33" s="2"/>
      <c r="AL33" s="2"/>
      <c r="AM33" s="2"/>
      <c r="AN33" s="2"/>
      <c r="AO33" s="2"/>
      <c r="AP33" s="2"/>
      <c r="AQ33" s="2"/>
      <c r="AR33" s="2"/>
      <c r="AS33" s="2"/>
      <c r="AT33" s="2"/>
      <c r="AU33" s="2"/>
      <c r="AV33" s="2"/>
      <c r="AW33" s="2"/>
      <c r="AX33" s="2"/>
      <c r="AY33" s="2"/>
      <c r="AZ33" s="2"/>
      <c r="BA33" s="2"/>
      <c r="BB33" s="2"/>
      <c r="BC33" s="2"/>
      <c r="BD33" s="2"/>
      <c r="BE33" s="2"/>
      <c r="BF33" s="2"/>
      <c r="BG33" s="2"/>
      <c r="BH33" s="2"/>
      <c r="BI33" s="2"/>
      <c r="BJ33" s="2"/>
      <c r="BK33" s="2"/>
      <c r="BL33" s="2"/>
      <c r="BM33" s="2"/>
      <c r="BN33" s="2"/>
      <c r="BO33" s="2"/>
    </row>
    <row r="34" spans="1:67" ht="25.9" customHeight="1" x14ac:dyDescent="0.2">
      <c r="A34" s="4"/>
      <c r="B34" s="110"/>
      <c r="C34" s="2"/>
      <c r="D34" s="4"/>
      <c r="E34" s="586" t="s">
        <v>235</v>
      </c>
      <c r="F34" s="586"/>
      <c r="G34" s="586"/>
      <c r="H34" s="586"/>
      <c r="I34" s="586"/>
      <c r="J34" s="586"/>
      <c r="K34" s="174"/>
      <c r="L34" s="174"/>
      <c r="M34" s="109"/>
      <c r="N34" s="109"/>
      <c r="O34" s="109"/>
      <c r="P34" s="109"/>
      <c r="Q34" s="109"/>
      <c r="R34" s="109"/>
      <c r="S34" s="109"/>
      <c r="T34" s="109"/>
      <c r="U34" s="109"/>
      <c r="V34" s="109"/>
      <c r="W34" s="109"/>
      <c r="X34" s="109"/>
      <c r="Y34" s="2"/>
      <c r="Z34" s="2"/>
      <c r="AA34" s="2"/>
      <c r="AB34" s="577" t="s">
        <v>236</v>
      </c>
      <c r="AC34" s="577"/>
      <c r="AD34" s="577"/>
      <c r="AE34" s="577"/>
      <c r="AF34" s="2"/>
      <c r="AG34" s="2"/>
      <c r="AH34" s="2"/>
      <c r="AI34" s="2"/>
      <c r="AJ34" s="2"/>
      <c r="AK34" s="2"/>
      <c r="AL34" s="2"/>
      <c r="AM34" s="2"/>
      <c r="AN34" s="2"/>
      <c r="AO34" s="2"/>
      <c r="AP34" s="2"/>
      <c r="AQ34" s="2"/>
      <c r="AR34" s="2"/>
      <c r="AS34" s="2"/>
      <c r="AT34" s="2"/>
      <c r="AU34" s="2"/>
      <c r="AV34" s="2"/>
      <c r="AW34" s="2"/>
      <c r="AX34" s="2"/>
      <c r="AY34" s="2"/>
      <c r="AZ34" s="2"/>
      <c r="BA34" s="2"/>
      <c r="BB34" s="2"/>
      <c r="BC34" s="2"/>
      <c r="BD34" s="2"/>
      <c r="BE34" s="2"/>
      <c r="BF34" s="2"/>
      <c r="BG34" s="2"/>
      <c r="BH34" s="2"/>
      <c r="BI34" s="2"/>
      <c r="BJ34" s="2"/>
      <c r="BK34" s="2"/>
      <c r="BL34" s="2"/>
      <c r="BM34" s="2"/>
      <c r="BN34" s="2"/>
      <c r="BO34" s="2"/>
    </row>
    <row r="35" spans="1:67" ht="43.15" customHeight="1" x14ac:dyDescent="0.2">
      <c r="A35" s="4"/>
      <c r="B35" s="9"/>
      <c r="C35" s="4"/>
      <c r="D35" s="177"/>
      <c r="E35" s="225"/>
      <c r="F35" s="175" t="s">
        <v>181</v>
      </c>
      <c r="G35" s="225" t="s">
        <v>237</v>
      </c>
      <c r="H35" s="225" t="s">
        <v>238</v>
      </c>
      <c r="I35" s="587" t="s">
        <v>239</v>
      </c>
      <c r="J35" s="588"/>
      <c r="K35" s="588"/>
      <c r="L35" s="588"/>
      <c r="M35" s="588"/>
      <c r="N35" s="588"/>
      <c r="O35" s="588"/>
      <c r="P35" s="588"/>
      <c r="Q35" s="588"/>
      <c r="R35" s="588"/>
      <c r="S35" s="588"/>
      <c r="T35" s="588"/>
      <c r="U35" s="588"/>
      <c r="V35" s="588"/>
      <c r="W35" s="588"/>
      <c r="X35" s="589"/>
      <c r="Y35" s="2"/>
      <c r="Z35" s="2"/>
      <c r="AA35" s="2"/>
      <c r="AB35" s="76" t="s">
        <v>240</v>
      </c>
      <c r="AC35" s="76" t="s">
        <v>241</v>
      </c>
      <c r="AD35" s="76" t="s">
        <v>238</v>
      </c>
      <c r="AE35" s="76" t="s">
        <v>183</v>
      </c>
      <c r="AF35" s="2"/>
      <c r="AG35" s="2"/>
      <c r="AH35" s="2"/>
      <c r="AI35" s="2"/>
      <c r="AJ35" s="2"/>
      <c r="AK35" s="2"/>
      <c r="AL35" s="2"/>
      <c r="AM35" s="2"/>
      <c r="AN35" s="2"/>
      <c r="AO35" s="2"/>
      <c r="AP35" s="2"/>
      <c r="AQ35" s="2"/>
      <c r="AR35" s="2"/>
      <c r="AS35" s="2"/>
      <c r="AT35" s="2"/>
      <c r="AU35" s="2"/>
      <c r="AV35" s="2"/>
      <c r="AW35" s="2"/>
      <c r="AX35" s="2"/>
      <c r="AY35" s="2"/>
      <c r="AZ35" s="2"/>
      <c r="BA35" s="2"/>
      <c r="BB35" s="2"/>
      <c r="BC35" s="2"/>
      <c r="BD35" s="2"/>
      <c r="BE35" s="2"/>
      <c r="BF35" s="2"/>
      <c r="BG35" s="2"/>
      <c r="BH35" s="2"/>
      <c r="BI35" s="2"/>
      <c r="BJ35" s="2"/>
      <c r="BK35" s="2"/>
      <c r="BL35" s="2"/>
      <c r="BM35" s="2"/>
      <c r="BN35" s="2"/>
      <c r="BO35" s="2"/>
    </row>
    <row r="36" spans="1:67" ht="24.6" customHeight="1" x14ac:dyDescent="0.2">
      <c r="A36" s="4"/>
      <c r="B36" s="9"/>
      <c r="C36" s="4"/>
      <c r="D36" s="177"/>
      <c r="E36" s="590" t="s">
        <v>235</v>
      </c>
      <c r="F36" s="496" t="s">
        <v>204</v>
      </c>
      <c r="G36" s="496">
        <v>1.1000000000000001</v>
      </c>
      <c r="H36" s="176" t="s">
        <v>242</v>
      </c>
      <c r="I36" s="583">
        <v>0.57689999999999997</v>
      </c>
      <c r="J36" s="584"/>
      <c r="K36" s="584"/>
      <c r="L36" s="584"/>
      <c r="M36" s="584"/>
      <c r="N36" s="584"/>
      <c r="O36" s="584"/>
      <c r="P36" s="584"/>
      <c r="Q36" s="584"/>
      <c r="R36" s="584"/>
      <c r="S36" s="584"/>
      <c r="T36" s="584"/>
      <c r="U36" s="584"/>
      <c r="V36" s="584"/>
      <c r="W36" s="584"/>
      <c r="X36" s="585"/>
      <c r="Y36" s="2"/>
      <c r="Z36" s="2"/>
      <c r="AA36" s="2"/>
      <c r="AB36" s="436" t="s">
        <v>164</v>
      </c>
      <c r="AC36" s="436" t="s">
        <v>243</v>
      </c>
      <c r="AD36" s="436" t="s">
        <v>244</v>
      </c>
      <c r="AE36" s="445" t="s">
        <v>245</v>
      </c>
      <c r="AF36" s="2"/>
      <c r="AG36" s="2"/>
      <c r="AH36" s="2"/>
      <c r="AI36" s="2"/>
      <c r="AJ36" s="2"/>
      <c r="AK36" s="2"/>
      <c r="AL36" s="2"/>
      <c r="AM36" s="2"/>
      <c r="AN36" s="2"/>
      <c r="AO36" s="2"/>
      <c r="AP36" s="2"/>
      <c r="AQ36" s="2"/>
      <c r="AR36" s="2"/>
      <c r="AS36" s="2"/>
      <c r="AT36" s="2"/>
      <c r="AU36" s="2"/>
      <c r="AV36" s="2"/>
      <c r="AW36" s="2"/>
      <c r="AX36" s="2"/>
      <c r="AY36" s="2"/>
      <c r="AZ36" s="2"/>
      <c r="BA36" s="2"/>
      <c r="BB36" s="2"/>
      <c r="BC36" s="2"/>
      <c r="BD36" s="2"/>
      <c r="BE36" s="2"/>
      <c r="BF36" s="2"/>
      <c r="BG36" s="2"/>
      <c r="BH36" s="2"/>
      <c r="BI36" s="2"/>
      <c r="BJ36" s="2"/>
      <c r="BK36" s="2"/>
      <c r="BL36" s="2"/>
      <c r="BM36" s="2"/>
      <c r="BN36" s="2"/>
      <c r="BO36" s="2"/>
    </row>
    <row r="37" spans="1:67" ht="100.9" customHeight="1" x14ac:dyDescent="0.25">
      <c r="A37" s="4"/>
      <c r="B37" s="4"/>
      <c r="C37" s="4"/>
      <c r="D37" s="4"/>
      <c r="E37" s="590"/>
      <c r="F37" s="496" t="s">
        <v>207</v>
      </c>
      <c r="G37" s="496">
        <v>1.1000000000000001</v>
      </c>
      <c r="H37" s="176" t="s">
        <v>242</v>
      </c>
      <c r="I37" s="583">
        <v>0.57689999999999997</v>
      </c>
      <c r="J37" s="584"/>
      <c r="K37" s="584"/>
      <c r="L37" s="584"/>
      <c r="M37" s="584"/>
      <c r="N37" s="584"/>
      <c r="O37" s="584"/>
      <c r="P37" s="584"/>
      <c r="Q37" s="584"/>
      <c r="R37" s="584"/>
      <c r="S37" s="584"/>
      <c r="T37" s="584"/>
      <c r="U37" s="584"/>
      <c r="V37" s="584"/>
      <c r="W37" s="584"/>
      <c r="X37" s="585"/>
      <c r="Y37" s="2"/>
      <c r="Z37" s="2"/>
      <c r="AA37" s="2"/>
      <c r="AB37" s="436" t="s">
        <v>171</v>
      </c>
      <c r="AC37" s="440" t="s">
        <v>246</v>
      </c>
      <c r="AD37" s="436" t="s">
        <v>247</v>
      </c>
      <c r="AE37" s="446" t="s">
        <v>248</v>
      </c>
      <c r="AF37" s="223" t="s">
        <v>249</v>
      </c>
      <c r="AG37" s="2"/>
      <c r="AH37" s="2"/>
      <c r="AI37" s="2"/>
      <c r="AJ37" s="2"/>
      <c r="AK37" s="2"/>
      <c r="AL37" s="2"/>
      <c r="AM37" s="2"/>
      <c r="AN37" s="2"/>
      <c r="AO37" s="2"/>
      <c r="AP37" s="2"/>
      <c r="AQ37" s="2"/>
      <c r="AR37" s="2"/>
      <c r="AS37" s="2"/>
      <c r="AT37" s="2"/>
      <c r="AU37" s="2"/>
      <c r="AV37" s="2"/>
      <c r="AW37" s="2"/>
      <c r="AX37" s="2"/>
      <c r="AY37" s="2"/>
      <c r="AZ37" s="2"/>
      <c r="BA37" s="2"/>
      <c r="BB37" s="2"/>
      <c r="BC37" s="2"/>
      <c r="BD37" s="2"/>
      <c r="BE37" s="2"/>
      <c r="BF37" s="2"/>
      <c r="BG37" s="2"/>
      <c r="BH37" s="2"/>
      <c r="BI37" s="2"/>
      <c r="BJ37" s="2"/>
      <c r="BK37" s="2"/>
      <c r="BL37" s="2"/>
      <c r="BM37" s="2"/>
      <c r="BN37" s="2"/>
      <c r="BO37" s="2"/>
    </row>
    <row r="38" spans="1:67" ht="24.6" customHeight="1" x14ac:dyDescent="0.2">
      <c r="A38" s="4"/>
      <c r="B38" s="9"/>
      <c r="C38" s="4"/>
      <c r="D38" s="4"/>
      <c r="E38" s="590"/>
      <c r="F38" s="496" t="s">
        <v>209</v>
      </c>
      <c r="G38" s="496">
        <v>1.1000000000000001</v>
      </c>
      <c r="H38" s="176" t="s">
        <v>242</v>
      </c>
      <c r="I38" s="583">
        <v>0.57689999999999997</v>
      </c>
      <c r="J38" s="584"/>
      <c r="K38" s="584"/>
      <c r="L38" s="584"/>
      <c r="M38" s="584"/>
      <c r="N38" s="584"/>
      <c r="O38" s="584"/>
      <c r="P38" s="584"/>
      <c r="Q38" s="584"/>
      <c r="R38" s="584"/>
      <c r="S38" s="584"/>
      <c r="T38" s="584"/>
      <c r="U38" s="584"/>
      <c r="V38" s="584"/>
      <c r="W38" s="584"/>
      <c r="X38" s="585"/>
      <c r="Y38" s="64"/>
      <c r="Z38" s="2"/>
      <c r="AA38" s="2"/>
      <c r="AB38" s="4"/>
      <c r="AC38" s="463">
        <f>32*7/616</f>
        <v>0.36363636363636365</v>
      </c>
      <c r="AD38" s="4"/>
      <c r="AE38" s="4"/>
      <c r="AF38" s="4"/>
      <c r="AG38" s="4"/>
      <c r="AH38" s="576"/>
      <c r="AI38" s="576"/>
      <c r="AJ38" s="576"/>
      <c r="AK38" s="576"/>
      <c r="AL38" s="576"/>
      <c r="AM38" s="576"/>
      <c r="AN38" s="576"/>
      <c r="AO38" s="576"/>
      <c r="AP38" s="576"/>
      <c r="AQ38" s="576"/>
      <c r="AR38" s="576"/>
      <c r="AS38" s="576"/>
      <c r="AT38" s="576"/>
      <c r="AU38" s="576"/>
      <c r="AV38" s="576"/>
      <c r="AW38" s="576"/>
      <c r="AX38" s="576"/>
      <c r="AY38" s="576"/>
      <c r="AZ38" s="2"/>
      <c r="BA38" s="2"/>
      <c r="BB38" s="2"/>
      <c r="BC38" s="2"/>
      <c r="BD38" s="2"/>
      <c r="BE38" s="2"/>
      <c r="BF38" s="2"/>
      <c r="BG38" s="2"/>
      <c r="BH38" s="2"/>
      <c r="BI38" s="2"/>
      <c r="BJ38" s="2"/>
      <c r="BK38" s="2"/>
      <c r="BL38" s="2"/>
      <c r="BM38" s="2"/>
      <c r="BN38" s="2"/>
      <c r="BO38" s="2"/>
    </row>
    <row r="39" spans="1:67" ht="33.6" customHeight="1" x14ac:dyDescent="0.2">
      <c r="A39" s="4"/>
      <c r="B39" s="9"/>
      <c r="C39" s="4"/>
      <c r="D39" s="4"/>
      <c r="E39" s="590"/>
      <c r="F39" s="496" t="s">
        <v>211</v>
      </c>
      <c r="G39" s="340">
        <v>1</v>
      </c>
      <c r="H39" s="224" t="s">
        <v>250</v>
      </c>
      <c r="I39" s="583">
        <v>0.52790000000000004</v>
      </c>
      <c r="J39" s="584"/>
      <c r="K39" s="584"/>
      <c r="L39" s="584"/>
      <c r="M39" s="584"/>
      <c r="N39" s="584"/>
      <c r="O39" s="584"/>
      <c r="P39" s="584"/>
      <c r="Q39" s="584"/>
      <c r="R39" s="584"/>
      <c r="S39" s="584"/>
      <c r="T39" s="584"/>
      <c r="U39" s="584"/>
      <c r="V39" s="584"/>
      <c r="W39" s="584"/>
      <c r="X39" s="585"/>
      <c r="Y39" s="2"/>
      <c r="Z39" s="2"/>
      <c r="AA39" s="2"/>
      <c r="AB39" s="2"/>
      <c r="AC39" s="2"/>
      <c r="AD39" s="2"/>
      <c r="AE39" s="2"/>
      <c r="AF39" s="2"/>
      <c r="AG39" s="2"/>
      <c r="AH39" s="2"/>
      <c r="AI39" s="2"/>
      <c r="AJ39" s="2"/>
      <c r="AK39" s="2"/>
      <c r="AL39" s="2"/>
      <c r="AM39" s="2"/>
      <c r="AN39" s="2"/>
      <c r="AO39" s="2"/>
      <c r="AP39" s="2"/>
      <c r="AQ39" s="2"/>
      <c r="AR39" s="2"/>
      <c r="AS39" s="2"/>
      <c r="AT39" s="2"/>
      <c r="AU39" s="2"/>
      <c r="AV39" s="2"/>
      <c r="AW39" s="2"/>
      <c r="AX39" s="2"/>
      <c r="AY39" s="2"/>
      <c r="AZ39" s="2"/>
      <c r="BA39" s="2"/>
      <c r="BB39" s="2"/>
      <c r="BC39" s="2"/>
      <c r="BD39" s="2"/>
      <c r="BE39" s="2"/>
      <c r="BF39" s="2"/>
      <c r="BG39" s="2"/>
      <c r="BH39" s="2"/>
      <c r="BI39" s="2"/>
      <c r="BJ39" s="2"/>
      <c r="BK39" s="2"/>
      <c r="BL39" s="2"/>
      <c r="BM39" s="2"/>
      <c r="BN39" s="2"/>
      <c r="BO39" s="2"/>
    </row>
    <row r="40" spans="1:67" ht="34.15" customHeight="1" x14ac:dyDescent="0.2">
      <c r="A40" s="4"/>
      <c r="B40" s="9"/>
      <c r="C40" s="4"/>
      <c r="D40" s="4"/>
      <c r="E40" s="590"/>
      <c r="F40" s="496" t="s">
        <v>213</v>
      </c>
      <c r="G40" s="496">
        <v>0.6</v>
      </c>
      <c r="H40" s="224" t="s">
        <v>251</v>
      </c>
      <c r="I40" s="583">
        <v>0.31469999999999998</v>
      </c>
      <c r="J40" s="584"/>
      <c r="K40" s="584"/>
      <c r="L40" s="584"/>
      <c r="M40" s="584"/>
      <c r="N40" s="584"/>
      <c r="O40" s="584"/>
      <c r="P40" s="584"/>
      <c r="Q40" s="584"/>
      <c r="R40" s="584"/>
      <c r="S40" s="584"/>
      <c r="T40" s="584"/>
      <c r="U40" s="584"/>
      <c r="V40" s="584"/>
      <c r="W40" s="584"/>
      <c r="X40" s="585"/>
      <c r="Y40" s="2"/>
      <c r="Z40" s="2"/>
      <c r="AA40" s="2"/>
      <c r="AB40" s="2"/>
      <c r="AC40" s="2"/>
      <c r="AD40" s="2"/>
      <c r="AE40" s="2"/>
      <c r="AF40" s="2"/>
      <c r="AG40" s="2"/>
      <c r="AH40" s="2"/>
      <c r="AI40" s="2"/>
      <c r="AJ40" s="2"/>
      <c r="AK40" s="2"/>
      <c r="AL40" s="2"/>
      <c r="AM40" s="2"/>
      <c r="AN40" s="2"/>
      <c r="AO40" s="2"/>
      <c r="AP40" s="2"/>
      <c r="AQ40" s="2"/>
      <c r="AR40" s="2"/>
      <c r="AS40" s="2"/>
      <c r="AT40" s="2"/>
      <c r="AU40" s="2"/>
      <c r="AV40" s="2"/>
      <c r="AW40" s="2"/>
      <c r="AX40" s="2"/>
      <c r="AY40" s="2"/>
      <c r="AZ40" s="2"/>
      <c r="BA40" s="2"/>
      <c r="BB40" s="2"/>
      <c r="BC40" s="2"/>
      <c r="BD40" s="2"/>
      <c r="BE40" s="2"/>
      <c r="BF40" s="2"/>
      <c r="BG40" s="2"/>
      <c r="BH40" s="2"/>
      <c r="BI40" s="2"/>
      <c r="BJ40" s="2"/>
      <c r="BK40" s="2"/>
      <c r="BL40" s="2"/>
      <c r="BM40" s="2"/>
      <c r="BN40" s="2"/>
      <c r="BO40" s="2"/>
    </row>
    <row r="41" spans="1:67" x14ac:dyDescent="0.2">
      <c r="A41" s="2"/>
      <c r="B41" s="110"/>
      <c r="C41" s="2"/>
      <c r="D41" s="2"/>
      <c r="E41" s="375" t="s">
        <v>252</v>
      </c>
      <c r="F41" s="481"/>
      <c r="G41" s="178"/>
      <c r="H41" s="94"/>
      <c r="I41" s="94"/>
      <c r="J41" s="94"/>
      <c r="K41" s="94"/>
      <c r="L41" s="94"/>
      <c r="M41" s="94"/>
      <c r="N41" s="2"/>
      <c r="O41" s="2"/>
      <c r="P41" s="2"/>
      <c r="Q41" s="2"/>
      <c r="R41" s="2"/>
      <c r="S41" s="2"/>
      <c r="T41" s="2"/>
      <c r="U41" s="2"/>
      <c r="V41" s="2"/>
      <c r="W41" s="2"/>
      <c r="X41" s="2"/>
      <c r="Y41" s="2"/>
      <c r="Z41" s="2"/>
      <c r="AA41" s="2"/>
      <c r="AB41" s="2"/>
      <c r="AC41" s="2"/>
      <c r="AD41" s="2"/>
      <c r="AE41" s="2"/>
      <c r="AF41" s="2"/>
      <c r="AG41" s="2"/>
      <c r="AH41" s="2"/>
      <c r="AI41" s="2"/>
      <c r="AJ41" s="2"/>
      <c r="AK41" s="2"/>
      <c r="AL41" s="2"/>
      <c r="AM41" s="2"/>
      <c r="AN41" s="2"/>
      <c r="AO41" s="2"/>
      <c r="AP41" s="2"/>
      <c r="AQ41" s="2"/>
      <c r="AR41" s="2"/>
      <c r="AS41" s="2"/>
      <c r="AT41" s="2"/>
      <c r="AU41" s="2"/>
      <c r="AV41" s="2"/>
      <c r="AW41" s="2"/>
      <c r="AX41" s="2"/>
      <c r="AY41" s="2"/>
      <c r="AZ41" s="2"/>
      <c r="BA41" s="2"/>
      <c r="BB41" s="2"/>
      <c r="BC41" s="2"/>
      <c r="BD41" s="2"/>
      <c r="BE41" s="2"/>
      <c r="BF41" s="2"/>
      <c r="BG41" s="2"/>
      <c r="BH41" s="2"/>
      <c r="BI41" s="2"/>
      <c r="BJ41" s="2"/>
      <c r="BK41" s="2"/>
      <c r="BL41" s="2"/>
      <c r="BM41" s="2"/>
      <c r="BN41" s="2"/>
      <c r="BO41" s="2"/>
    </row>
    <row r="42" spans="1:67" ht="15" x14ac:dyDescent="0.25">
      <c r="A42" s="2"/>
      <c r="B42" s="110"/>
      <c r="C42" s="2"/>
      <c r="D42" s="2"/>
      <c r="E42" s="223" t="s">
        <v>253</v>
      </c>
      <c r="F42" s="94"/>
      <c r="G42" s="94"/>
      <c r="H42" s="94"/>
      <c r="I42" s="94"/>
      <c r="J42" s="94"/>
      <c r="K42" s="94"/>
      <c r="L42" s="2"/>
      <c r="M42" s="2"/>
      <c r="N42" s="2"/>
      <c r="O42" s="2"/>
      <c r="P42" s="2"/>
      <c r="Q42" s="2"/>
      <c r="R42" s="2"/>
      <c r="S42" s="2"/>
      <c r="T42" s="2"/>
      <c r="U42" s="2"/>
      <c r="V42" s="2"/>
      <c r="W42" s="2"/>
      <c r="X42" s="2"/>
      <c r="Y42" s="2"/>
      <c r="Z42" s="2"/>
      <c r="AA42" s="2"/>
      <c r="AB42" s="2"/>
      <c r="AC42" s="2"/>
      <c r="AD42" s="2"/>
      <c r="AE42" s="2"/>
      <c r="AF42" s="2"/>
      <c r="AG42" s="2"/>
      <c r="AH42" s="2"/>
      <c r="AI42" s="2"/>
      <c r="AJ42" s="2"/>
      <c r="AK42" s="2"/>
      <c r="AL42" s="2"/>
      <c r="AM42" s="2"/>
      <c r="AN42" s="2"/>
      <c r="AO42" s="2"/>
      <c r="AP42" s="2"/>
      <c r="AQ42" s="2"/>
      <c r="AR42" s="2"/>
      <c r="AS42" s="2"/>
      <c r="AT42" s="2"/>
      <c r="AU42" s="2"/>
      <c r="AV42" s="2"/>
      <c r="AW42" s="2"/>
      <c r="AX42" s="2"/>
      <c r="AY42" s="2"/>
      <c r="AZ42" s="2"/>
      <c r="BA42" s="2"/>
      <c r="BB42" s="2"/>
      <c r="BC42" s="2"/>
      <c r="BD42" s="2"/>
      <c r="BE42" s="2"/>
      <c r="BF42" s="2"/>
      <c r="BG42" s="2"/>
      <c r="BH42" s="2"/>
      <c r="BI42" s="2"/>
      <c r="BJ42" s="2"/>
      <c r="BK42" s="2"/>
      <c r="BL42" s="2"/>
      <c r="BM42" s="2"/>
      <c r="BN42" s="2"/>
      <c r="BO42" s="2"/>
    </row>
    <row r="43" spans="1:67" x14ac:dyDescent="0.2">
      <c r="A43" s="2"/>
      <c r="B43" s="110"/>
      <c r="C43" s="2"/>
      <c r="D43" s="2"/>
      <c r="E43" s="2"/>
      <c r="F43" s="2"/>
      <c r="G43" s="111"/>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2"/>
      <c r="AN43" s="2"/>
      <c r="AO43" s="2"/>
      <c r="AP43" s="2"/>
      <c r="AQ43" s="2"/>
      <c r="AR43" s="2"/>
      <c r="AS43" s="2"/>
      <c r="AT43" s="2"/>
      <c r="AU43" s="2"/>
      <c r="AV43" s="2"/>
      <c r="AW43" s="2"/>
      <c r="AX43" s="2"/>
      <c r="AY43" s="2"/>
      <c r="AZ43" s="2"/>
      <c r="BA43" s="2"/>
      <c r="BB43" s="2"/>
      <c r="BC43" s="2"/>
      <c r="BD43" s="2"/>
      <c r="BE43" s="2"/>
      <c r="BF43" s="2"/>
      <c r="BG43" s="2"/>
      <c r="BH43" s="2"/>
      <c r="BI43" s="2"/>
      <c r="BJ43" s="2"/>
      <c r="BK43" s="2"/>
      <c r="BL43" s="2"/>
      <c r="BM43" s="2"/>
      <c r="BN43" s="2"/>
      <c r="BO43" s="2"/>
    </row>
    <row r="44" spans="1:67" x14ac:dyDescent="0.2">
      <c r="A44" s="2"/>
      <c r="B44" s="110"/>
      <c r="C44" s="2"/>
      <c r="D44" s="2"/>
      <c r="E44" s="2"/>
      <c r="F44" s="2"/>
      <c r="G44" s="111"/>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2"/>
      <c r="AN44" s="2"/>
      <c r="AO44" s="2"/>
      <c r="AP44" s="2"/>
      <c r="AQ44" s="2"/>
      <c r="AR44" s="2"/>
      <c r="AS44" s="2"/>
      <c r="AT44" s="2"/>
      <c r="AU44" s="2"/>
      <c r="AV44" s="2"/>
      <c r="AW44" s="2"/>
      <c r="AX44" s="2"/>
      <c r="AY44" s="2"/>
      <c r="AZ44" s="2"/>
      <c r="BA44" s="2"/>
      <c r="BB44" s="2"/>
      <c r="BC44" s="2"/>
      <c r="BD44" s="2"/>
      <c r="BE44" s="2"/>
      <c r="BF44" s="2"/>
      <c r="BG44" s="2"/>
      <c r="BH44" s="2"/>
      <c r="BI44" s="2"/>
      <c r="BJ44" s="2"/>
      <c r="BK44" s="2"/>
      <c r="BL44" s="2"/>
      <c r="BM44" s="2"/>
      <c r="BN44" s="2"/>
      <c r="BO44" s="2"/>
    </row>
    <row r="45" spans="1:67" s="63" customFormat="1" ht="18" hidden="1" x14ac:dyDescent="0.25">
      <c r="A45" s="28" t="s">
        <v>75</v>
      </c>
      <c r="B45" s="112"/>
      <c r="C45" s="112"/>
      <c r="D45" s="112"/>
      <c r="E45" s="113"/>
      <c r="F45" s="114"/>
      <c r="G45" s="115"/>
      <c r="H45" s="112"/>
      <c r="I45" s="112"/>
      <c r="J45" s="112"/>
      <c r="K45" s="112"/>
      <c r="L45" s="112"/>
      <c r="M45" s="112"/>
      <c r="N45" s="112"/>
      <c r="O45" s="112"/>
      <c r="P45" s="112"/>
      <c r="Q45" s="112"/>
      <c r="R45" s="112"/>
      <c r="S45" s="112"/>
      <c r="T45" s="112"/>
      <c r="U45" s="112"/>
      <c r="V45" s="112"/>
      <c r="W45" s="112"/>
      <c r="X45" s="112"/>
      <c r="Y45" s="112"/>
      <c r="Z45" s="112"/>
      <c r="AA45" s="112"/>
      <c r="AB45" s="112"/>
      <c r="AC45" s="112"/>
      <c r="AD45" s="112"/>
      <c r="AE45" s="112"/>
      <c r="AF45" s="112"/>
      <c r="AG45" s="112"/>
      <c r="AH45" s="112"/>
      <c r="AI45" s="112"/>
      <c r="AJ45" s="112"/>
      <c r="AK45" s="112"/>
      <c r="AL45" s="112"/>
      <c r="AM45" s="112"/>
      <c r="AN45" s="112"/>
      <c r="AO45" s="112"/>
      <c r="AP45" s="112"/>
      <c r="AQ45" s="112"/>
      <c r="AR45" s="112"/>
      <c r="AS45" s="112"/>
      <c r="AT45" s="112"/>
      <c r="AU45" s="112"/>
      <c r="AV45" s="112"/>
      <c r="AW45" s="112"/>
      <c r="AX45" s="112"/>
      <c r="AY45" s="112"/>
      <c r="AZ45" s="112"/>
      <c r="BA45" s="112"/>
      <c r="BB45" s="112"/>
      <c r="BC45" s="112"/>
      <c r="BD45" s="112"/>
      <c r="BE45" s="112"/>
      <c r="BF45" s="112"/>
      <c r="BG45" s="112"/>
      <c r="BH45" s="112"/>
      <c r="BI45" s="112"/>
      <c r="BJ45" s="112"/>
      <c r="BK45" s="112"/>
      <c r="BL45" s="112"/>
      <c r="BM45" s="112"/>
      <c r="BN45" s="112"/>
      <c r="BO45" s="112"/>
    </row>
    <row r="46" spans="1:67" s="280" customFormat="1" ht="17.45" hidden="1" customHeight="1" x14ac:dyDescent="0.25">
      <c r="A46" s="5"/>
      <c r="B46" s="276"/>
      <c r="C46" s="276"/>
      <c r="D46" s="276"/>
      <c r="E46" s="277"/>
      <c r="F46" s="278"/>
      <c r="G46" s="279"/>
      <c r="H46" s="276"/>
      <c r="I46" s="276"/>
      <c r="J46" s="276"/>
      <c r="K46" s="276"/>
      <c r="L46" s="276"/>
      <c r="M46" s="276"/>
      <c r="N46" s="276"/>
      <c r="O46" s="276"/>
      <c r="P46" s="276"/>
      <c r="Q46" s="276"/>
      <c r="R46" s="276"/>
      <c r="S46" s="276"/>
      <c r="T46" s="276"/>
      <c r="U46" s="276"/>
      <c r="V46" s="276"/>
      <c r="W46" s="276"/>
      <c r="X46" s="276"/>
      <c r="Y46" s="276"/>
      <c r="Z46" s="276"/>
      <c r="AA46" s="276"/>
      <c r="AB46" s="276"/>
      <c r="AC46" s="276"/>
      <c r="AD46" s="276"/>
      <c r="AE46" s="276"/>
      <c r="AF46" s="276"/>
      <c r="AG46" s="276"/>
      <c r="AH46" s="276"/>
      <c r="AI46" s="276"/>
      <c r="AJ46" s="276"/>
      <c r="AK46" s="276"/>
      <c r="AL46" s="276"/>
      <c r="AM46" s="276"/>
      <c r="AN46" s="276"/>
      <c r="AO46" s="276"/>
      <c r="AP46" s="276"/>
      <c r="AQ46" s="276"/>
      <c r="AR46" s="276"/>
      <c r="AS46" s="276"/>
      <c r="AT46" s="276"/>
      <c r="AU46" s="276"/>
      <c r="AV46" s="276"/>
      <c r="AW46" s="276"/>
      <c r="AX46" s="276"/>
      <c r="AY46" s="276"/>
      <c r="AZ46" s="276"/>
      <c r="BA46" s="276"/>
      <c r="BB46" s="276"/>
      <c r="BC46" s="276"/>
      <c r="BD46" s="276"/>
      <c r="BE46" s="276"/>
      <c r="BF46" s="276"/>
      <c r="BG46" s="276"/>
      <c r="BH46" s="276"/>
      <c r="BI46" s="276"/>
      <c r="BJ46" s="276"/>
      <c r="BK46" s="276"/>
      <c r="BL46" s="276"/>
      <c r="BM46" s="276"/>
      <c r="BN46" s="276"/>
      <c r="BO46" s="276"/>
    </row>
    <row r="47" spans="1:67" ht="15.75" hidden="1" x14ac:dyDescent="0.2">
      <c r="A47" s="536" t="s">
        <v>254</v>
      </c>
      <c r="B47" s="536"/>
      <c r="C47" s="536"/>
      <c r="D47" s="536"/>
      <c r="E47" s="536"/>
      <c r="F47" s="536"/>
      <c r="G47" s="536"/>
      <c r="H47" s="536"/>
      <c r="I47" s="536"/>
      <c r="J47" s="536"/>
      <c r="K47" s="536"/>
      <c r="L47" s="536"/>
      <c r="M47" s="536"/>
      <c r="N47" s="536"/>
      <c r="O47" s="536"/>
      <c r="P47" s="536"/>
      <c r="Q47" s="536"/>
      <c r="R47" s="536"/>
      <c r="S47" s="536"/>
      <c r="T47" s="536"/>
      <c r="U47" s="536"/>
      <c r="V47" s="536"/>
      <c r="W47" s="536"/>
      <c r="X47" s="536"/>
      <c r="Y47" s="536"/>
      <c r="Z47" s="536"/>
      <c r="AA47" s="2"/>
      <c r="AB47" s="2"/>
      <c r="AC47" s="2"/>
      <c r="AD47" s="2"/>
      <c r="AE47" s="2"/>
      <c r="AF47" s="2"/>
      <c r="AG47" s="2"/>
      <c r="AH47" s="2"/>
      <c r="AI47" s="2"/>
      <c r="AJ47" s="2"/>
      <c r="AK47" s="2"/>
      <c r="AL47" s="2"/>
      <c r="AM47" s="2"/>
      <c r="AN47" s="2"/>
      <c r="AO47" s="2"/>
      <c r="AP47" s="2"/>
      <c r="AQ47" s="2"/>
      <c r="AR47" s="2"/>
      <c r="AS47" s="2"/>
      <c r="AT47" s="2"/>
      <c r="AU47" s="2"/>
      <c r="AV47" s="2"/>
      <c r="AW47" s="2"/>
      <c r="AX47" s="2"/>
      <c r="AY47" s="2"/>
      <c r="AZ47" s="2"/>
      <c r="BA47" s="2"/>
      <c r="BB47" s="2"/>
      <c r="BC47" s="2"/>
      <c r="BD47" s="2"/>
      <c r="BE47" s="2"/>
      <c r="BF47" s="2"/>
      <c r="BG47" s="2"/>
      <c r="BH47" s="2"/>
      <c r="BI47" s="2"/>
      <c r="BJ47" s="2"/>
      <c r="BK47" s="2"/>
      <c r="BL47" s="2"/>
      <c r="BM47" s="2"/>
      <c r="BN47" s="2"/>
      <c r="BO47" s="2"/>
    </row>
    <row r="48" spans="1:67" hidden="1" x14ac:dyDescent="0.2">
      <c r="A48" s="2"/>
      <c r="B48" s="110"/>
      <c r="C48" s="2"/>
      <c r="D48" s="2"/>
      <c r="E48" s="2"/>
      <c r="F48" s="2"/>
      <c r="G48" s="111"/>
      <c r="H48" s="2"/>
      <c r="I48" s="2"/>
      <c r="J48" s="2"/>
      <c r="K48" s="2"/>
      <c r="L48" s="2"/>
      <c r="M48" s="2"/>
      <c r="N48" s="2"/>
      <c r="O48" s="2"/>
      <c r="P48" s="2"/>
      <c r="Q48" s="2"/>
      <c r="R48" s="2"/>
      <c r="S48" s="2"/>
      <c r="T48" s="2"/>
      <c r="U48" s="2"/>
      <c r="V48" s="2"/>
      <c r="W48" s="2"/>
      <c r="X48" s="2"/>
      <c r="Y48" s="2"/>
      <c r="Z48" s="2"/>
      <c r="AA48" s="2"/>
      <c r="AB48" s="2"/>
      <c r="AC48" s="2"/>
      <c r="AD48" s="2"/>
      <c r="AE48" s="2"/>
      <c r="AF48" s="2"/>
      <c r="AG48" s="2"/>
      <c r="AH48" s="2"/>
      <c r="AI48" s="2"/>
      <c r="AJ48" s="2"/>
      <c r="AK48" s="2"/>
      <c r="AL48" s="2"/>
      <c r="AM48" s="2"/>
      <c r="AN48" s="2"/>
      <c r="AO48" s="2"/>
      <c r="AP48" s="2"/>
      <c r="AQ48" s="2"/>
      <c r="AR48" s="2"/>
      <c r="AS48" s="2"/>
      <c r="AT48" s="2"/>
      <c r="AU48" s="2"/>
      <c r="AV48" s="2"/>
      <c r="AW48" s="2"/>
      <c r="AX48" s="2"/>
      <c r="AY48" s="2"/>
      <c r="AZ48" s="2"/>
      <c r="BA48" s="2"/>
      <c r="BB48" s="2"/>
      <c r="BC48" s="2"/>
      <c r="BD48" s="2"/>
      <c r="BE48" s="2"/>
      <c r="BF48" s="2"/>
      <c r="BG48" s="2"/>
      <c r="BH48" s="2"/>
      <c r="BI48" s="2"/>
      <c r="BJ48" s="2"/>
      <c r="BK48" s="2"/>
      <c r="BL48" s="2"/>
      <c r="BM48" s="2"/>
      <c r="BN48" s="2"/>
      <c r="BO48" s="2"/>
    </row>
    <row r="49" spans="1:62" hidden="1" x14ac:dyDescent="0.2">
      <c r="A49" s="2" t="s">
        <v>255</v>
      </c>
      <c r="B49" s="2" t="s">
        <v>256</v>
      </c>
      <c r="C49" s="2"/>
      <c r="D49" s="2"/>
      <c r="E49" s="2"/>
      <c r="F49" s="2"/>
      <c r="G49" s="111"/>
      <c r="H49" s="2"/>
      <c r="I49" s="2"/>
      <c r="J49" s="2"/>
      <c r="K49" s="2"/>
      <c r="L49" s="2"/>
      <c r="M49" s="2"/>
      <c r="N49" s="2"/>
      <c r="O49" s="2"/>
      <c r="P49" s="2"/>
      <c r="Q49" s="2"/>
      <c r="R49" s="2"/>
      <c r="S49" s="2"/>
      <c r="T49" s="2"/>
      <c r="U49" s="2"/>
      <c r="V49" s="2"/>
      <c r="W49" s="2"/>
      <c r="X49" s="2"/>
      <c r="Y49" s="2"/>
      <c r="Z49" s="2"/>
      <c r="AA49" s="2"/>
      <c r="AB49" s="2"/>
      <c r="AC49" s="2"/>
      <c r="AD49" s="2"/>
      <c r="AE49" s="2"/>
      <c r="AF49" s="2"/>
      <c r="AG49" s="2"/>
      <c r="AH49" s="2"/>
      <c r="AI49" s="2"/>
      <c r="AJ49" s="2"/>
      <c r="AK49" s="2"/>
      <c r="AL49" s="2"/>
      <c r="AM49" s="2"/>
      <c r="AN49" s="2"/>
      <c r="AO49" s="2"/>
      <c r="AP49" s="2"/>
      <c r="AQ49" s="2"/>
      <c r="AR49" s="2"/>
      <c r="AS49" s="2"/>
      <c r="AT49" s="2"/>
      <c r="AU49" s="2"/>
      <c r="AV49" s="2"/>
      <c r="AW49" s="2"/>
      <c r="AX49" s="2"/>
      <c r="AY49" s="2"/>
      <c r="AZ49" s="2"/>
      <c r="BA49" s="2"/>
      <c r="BB49" s="2"/>
      <c r="BC49" s="2"/>
      <c r="BD49" s="2"/>
      <c r="BE49" s="2"/>
      <c r="BF49" s="2"/>
      <c r="BG49" s="2"/>
      <c r="BH49" s="2"/>
      <c r="BI49" s="2"/>
      <c r="BJ49" s="2"/>
    </row>
    <row r="50" spans="1:62" hidden="1" x14ac:dyDescent="0.2">
      <c r="A50" s="2" t="s">
        <v>257</v>
      </c>
      <c r="B50" s="2" t="s">
        <v>258</v>
      </c>
      <c r="C50" s="2"/>
      <c r="D50" s="2"/>
      <c r="E50" s="2"/>
      <c r="F50" s="2"/>
      <c r="G50" s="111"/>
      <c r="H50" s="2"/>
      <c r="I50" s="2"/>
      <c r="J50" s="2"/>
      <c r="K50" s="2"/>
      <c r="L50" s="2"/>
      <c r="M50" s="2"/>
      <c r="N50" s="2"/>
      <c r="O50" s="2"/>
      <c r="P50" s="2"/>
      <c r="Q50" s="2"/>
      <c r="R50" s="2"/>
      <c r="S50" s="2"/>
      <c r="T50" s="2"/>
      <c r="U50" s="2"/>
      <c r="V50" s="2"/>
      <c r="W50" s="2"/>
      <c r="X50" s="2"/>
      <c r="Y50" s="2"/>
      <c r="Z50" s="2"/>
      <c r="AA50" s="2"/>
      <c r="AB50" s="2"/>
      <c r="AC50" s="2"/>
      <c r="AD50" s="2"/>
      <c r="AE50" s="2"/>
      <c r="AF50" s="2"/>
      <c r="AG50" s="2"/>
      <c r="AH50" s="2"/>
      <c r="AI50" s="2"/>
      <c r="AJ50" s="2"/>
      <c r="AK50" s="2"/>
      <c r="AL50" s="2"/>
      <c r="AM50" s="2"/>
      <c r="AN50" s="2"/>
      <c r="AO50" s="2"/>
      <c r="AP50" s="2"/>
      <c r="AQ50" s="2"/>
      <c r="AR50" s="2"/>
      <c r="AS50" s="2"/>
      <c r="AT50" s="2"/>
      <c r="AU50" s="2"/>
      <c r="AV50" s="2"/>
      <c r="AW50" s="2"/>
      <c r="AX50" s="2"/>
      <c r="AY50" s="2"/>
      <c r="AZ50" s="2"/>
      <c r="BA50" s="2"/>
      <c r="BB50" s="2"/>
      <c r="BC50" s="2"/>
      <c r="BD50" s="2"/>
      <c r="BE50" s="2"/>
      <c r="BF50" s="2"/>
      <c r="BG50" s="2"/>
      <c r="BH50" s="2"/>
      <c r="BI50" s="2"/>
      <c r="BJ50" s="2"/>
    </row>
    <row r="51" spans="1:62" hidden="1" x14ac:dyDescent="0.2">
      <c r="A51" s="2"/>
      <c r="B51" s="2"/>
      <c r="C51" s="2"/>
      <c r="D51" s="2"/>
      <c r="E51" s="2"/>
      <c r="F51" s="2"/>
      <c r="G51" s="111"/>
      <c r="H51" s="2"/>
      <c r="I51" s="2"/>
      <c r="J51" s="2"/>
      <c r="K51" s="2"/>
      <c r="L51" s="2"/>
      <c r="M51" s="2"/>
      <c r="N51" s="2"/>
      <c r="O51" s="2"/>
      <c r="P51" s="2"/>
      <c r="Q51" s="2"/>
      <c r="R51" s="2"/>
      <c r="S51" s="2"/>
      <c r="T51" s="2"/>
      <c r="U51" s="2"/>
      <c r="V51" s="2"/>
      <c r="W51" s="2"/>
      <c r="X51" s="2"/>
      <c r="Y51" s="2"/>
      <c r="Z51" s="2"/>
      <c r="AA51" s="2"/>
      <c r="AB51" s="2"/>
      <c r="AC51" s="2"/>
      <c r="AD51" s="2"/>
      <c r="AE51" s="2"/>
      <c r="AF51" s="2"/>
      <c r="AG51" s="2"/>
      <c r="AH51" s="2"/>
      <c r="AI51" s="2"/>
      <c r="AJ51" s="2"/>
      <c r="AK51" s="2"/>
      <c r="AL51" s="2"/>
      <c r="AM51" s="2"/>
      <c r="AN51" s="2"/>
      <c r="AO51" s="2"/>
      <c r="AP51" s="2"/>
      <c r="AQ51" s="2"/>
      <c r="AR51" s="2"/>
      <c r="AS51" s="2"/>
      <c r="AT51" s="2"/>
      <c r="AU51" s="2"/>
      <c r="AV51" s="2"/>
      <c r="AW51" s="2"/>
      <c r="AX51" s="2"/>
      <c r="AY51" s="2"/>
      <c r="AZ51" s="2"/>
      <c r="BA51" s="2"/>
      <c r="BB51" s="2"/>
      <c r="BC51" s="2"/>
      <c r="BD51" s="2"/>
      <c r="BE51" s="2"/>
      <c r="BF51" s="2"/>
      <c r="BG51" s="2"/>
      <c r="BH51" s="2"/>
      <c r="BI51" s="2"/>
      <c r="BJ51" s="2"/>
    </row>
    <row r="52" spans="1:62" ht="15.75" hidden="1" x14ac:dyDescent="0.2">
      <c r="A52" s="536" t="s">
        <v>259</v>
      </c>
      <c r="B52" s="536"/>
      <c r="C52" s="536"/>
      <c r="D52" s="536"/>
      <c r="E52" s="536"/>
      <c r="F52" s="536"/>
      <c r="G52" s="536"/>
      <c r="H52" s="536"/>
      <c r="I52" s="536"/>
      <c r="J52" s="536"/>
      <c r="K52" s="536"/>
      <c r="L52" s="536"/>
      <c r="M52" s="536"/>
      <c r="N52" s="536"/>
      <c r="O52" s="536"/>
      <c r="P52" s="536"/>
      <c r="Q52" s="536"/>
      <c r="R52" s="536"/>
      <c r="S52" s="536"/>
      <c r="T52" s="536"/>
      <c r="U52" s="536"/>
      <c r="V52" s="536"/>
      <c r="W52" s="536"/>
      <c r="X52" s="536"/>
      <c r="Y52" s="536"/>
      <c r="Z52" s="536"/>
      <c r="AA52" s="2"/>
      <c r="AB52" s="2"/>
      <c r="AC52" s="2"/>
      <c r="AD52" s="2"/>
      <c r="AE52" s="2"/>
      <c r="AF52" s="2"/>
      <c r="AG52" s="2"/>
      <c r="AH52" s="2"/>
      <c r="AI52" s="2"/>
      <c r="AJ52" s="2"/>
      <c r="AK52" s="2"/>
      <c r="AL52" s="2"/>
      <c r="AM52" s="2"/>
      <c r="AN52" s="2"/>
      <c r="AO52" s="2"/>
      <c r="AP52" s="2"/>
      <c r="AQ52" s="2"/>
      <c r="AR52" s="2"/>
      <c r="AS52" s="2"/>
      <c r="AT52" s="2"/>
      <c r="AU52" s="2"/>
      <c r="AV52" s="2"/>
      <c r="AW52" s="2"/>
      <c r="AX52" s="2"/>
      <c r="AY52" s="2"/>
      <c r="AZ52" s="2"/>
      <c r="BA52" s="2"/>
      <c r="BB52" s="2"/>
      <c r="BC52" s="2"/>
      <c r="BD52" s="2"/>
      <c r="BE52" s="2"/>
      <c r="BF52" s="2"/>
      <c r="BG52" s="2"/>
      <c r="BH52" s="2"/>
      <c r="BI52" s="2"/>
      <c r="BJ52" s="2"/>
    </row>
    <row r="53" spans="1:62" hidden="1" x14ac:dyDescent="0.2">
      <c r="A53" s="2"/>
      <c r="B53" s="2"/>
      <c r="C53" s="2"/>
      <c r="D53" s="2"/>
      <c r="E53" s="2"/>
      <c r="F53" s="2"/>
      <c r="G53" s="111"/>
      <c r="H53" s="2"/>
      <c r="I53" s="2"/>
      <c r="J53" s="2"/>
      <c r="K53" s="2"/>
      <c r="L53" s="2"/>
      <c r="M53" s="2"/>
      <c r="N53" s="2"/>
      <c r="O53" s="2"/>
      <c r="P53" s="2"/>
      <c r="Q53" s="2"/>
      <c r="R53" s="2"/>
      <c r="S53" s="2"/>
      <c r="T53" s="2"/>
      <c r="U53" s="2"/>
      <c r="V53" s="2"/>
      <c r="W53" s="2"/>
      <c r="X53" s="2"/>
      <c r="Y53" s="2"/>
      <c r="Z53" s="2"/>
      <c r="AA53" s="2"/>
      <c r="AB53" s="2"/>
      <c r="AC53" s="2"/>
      <c r="AD53" s="2"/>
      <c r="AE53" s="2"/>
      <c r="AF53" s="2"/>
      <c r="AG53" s="2"/>
      <c r="AH53" s="2"/>
      <c r="AI53" s="2"/>
      <c r="AJ53" s="2"/>
      <c r="AK53" s="2"/>
      <c r="AL53" s="2"/>
      <c r="AM53" s="2"/>
      <c r="AN53" s="2"/>
      <c r="AO53" s="2"/>
      <c r="AP53" s="2"/>
      <c r="AQ53" s="2"/>
      <c r="AR53" s="2"/>
      <c r="AS53" s="2"/>
      <c r="AT53" s="2"/>
      <c r="AU53" s="2"/>
      <c r="AV53" s="2"/>
      <c r="AW53" s="2"/>
      <c r="AX53" s="2"/>
      <c r="AY53" s="2"/>
      <c r="AZ53" s="2"/>
      <c r="BA53" s="2"/>
      <c r="BB53" s="2"/>
      <c r="BC53" s="2"/>
      <c r="BD53" s="2"/>
      <c r="BE53" s="2"/>
      <c r="BF53" s="2"/>
      <c r="BG53" s="2"/>
      <c r="BH53" s="2"/>
      <c r="BI53" s="2"/>
      <c r="BJ53" s="2"/>
    </row>
    <row r="54" spans="1:62" s="280" customFormat="1" ht="41.45" hidden="1" customHeight="1" x14ac:dyDescent="0.25">
      <c r="A54" s="212" t="s">
        <v>200</v>
      </c>
      <c r="B54" s="212" t="s">
        <v>41</v>
      </c>
      <c r="C54" s="212" t="s">
        <v>260</v>
      </c>
      <c r="D54" s="213" t="s">
        <v>261</v>
      </c>
      <c r="E54" s="212" t="s">
        <v>262</v>
      </c>
      <c r="F54" s="212" t="s">
        <v>207</v>
      </c>
      <c r="G54" s="212">
        <v>1986</v>
      </c>
      <c r="H54" s="213" t="s">
        <v>263</v>
      </c>
      <c r="I54" s="212">
        <f>1/6.63</f>
        <v>0.15082956259426847</v>
      </c>
      <c r="J54" s="212">
        <f>1/6.35</f>
        <v>0.15748031496062992</v>
      </c>
      <c r="K54" s="212">
        <f>1/6.35</f>
        <v>0.15748031496062992</v>
      </c>
      <c r="L54" s="212">
        <f>1/6.96</f>
        <v>0.14367816091954022</v>
      </c>
      <c r="M54" s="212">
        <f>1/6.96</f>
        <v>0.14367816091954022</v>
      </c>
      <c r="N54" s="212">
        <f>1/4.62</f>
        <v>0.21645021645021645</v>
      </c>
      <c r="O54" s="212">
        <f>1/4.62</f>
        <v>0.21645021645021645</v>
      </c>
      <c r="P54" s="212">
        <f>1/4.62</f>
        <v>0.21645021645021645</v>
      </c>
      <c r="Q54" s="212">
        <f>1/4.62</f>
        <v>0.21645021645021645</v>
      </c>
      <c r="R54" s="212">
        <f>1/4.62</f>
        <v>0.21645021645021645</v>
      </c>
      <c r="S54" s="212">
        <f>1/5.37</f>
        <v>0.18621973929236499</v>
      </c>
      <c r="T54" s="212">
        <f>1/5.37</f>
        <v>0.18621973929236499</v>
      </c>
      <c r="U54" s="212">
        <f>1/5.37</f>
        <v>0.18621973929236499</v>
      </c>
      <c r="V54" s="212">
        <f>1/6.3</f>
        <v>0.15873015873015872</v>
      </c>
      <c r="W54" s="212">
        <f>1/6.3</f>
        <v>0.15873015873015872</v>
      </c>
      <c r="X54" s="212">
        <f>1/6.63</f>
        <v>0.15082956259426847</v>
      </c>
      <c r="Y54" s="192" t="s">
        <v>264</v>
      </c>
      <c r="Z54" s="276"/>
      <c r="AA54" s="276"/>
      <c r="AB54" s="276"/>
      <c r="AC54" s="276"/>
      <c r="AD54" s="276"/>
      <c r="AE54" s="276"/>
      <c r="AF54" s="276"/>
      <c r="AG54" s="276"/>
      <c r="AH54" s="276"/>
      <c r="AI54" s="276"/>
      <c r="AJ54" s="276"/>
      <c r="AK54" s="276"/>
      <c r="AL54" s="276"/>
      <c r="AM54" s="276"/>
      <c r="AN54" s="276"/>
      <c r="AO54" s="276"/>
      <c r="AP54" s="276"/>
      <c r="AQ54" s="276"/>
      <c r="AR54" s="276"/>
      <c r="AS54" s="276"/>
      <c r="AT54" s="276"/>
      <c r="AU54" s="276"/>
      <c r="AV54" s="276"/>
      <c r="AW54" s="276"/>
      <c r="AX54" s="276"/>
      <c r="AY54" s="276"/>
      <c r="AZ54" s="276"/>
      <c r="BA54" s="276"/>
      <c r="BB54" s="276"/>
      <c r="BC54" s="276"/>
      <c r="BD54" s="276"/>
      <c r="BE54" s="276"/>
      <c r="BF54" s="276"/>
      <c r="BG54" s="276"/>
      <c r="BH54" s="276"/>
      <c r="BI54" s="276"/>
      <c r="BJ54" s="276"/>
    </row>
    <row r="55" spans="1:62" s="5" customFormat="1" ht="19.899999999999999" hidden="1" customHeight="1" x14ac:dyDescent="0.2">
      <c r="A55" s="507"/>
      <c r="B55" s="7"/>
      <c r="C55" s="507"/>
      <c r="D55" s="507"/>
      <c r="E55" s="507"/>
      <c r="F55" s="7"/>
      <c r="G55" s="507"/>
      <c r="H55" s="507"/>
      <c r="I55" s="507"/>
      <c r="J55" s="507"/>
      <c r="K55" s="507"/>
      <c r="L55" s="507"/>
      <c r="M55" s="507"/>
      <c r="N55" s="507"/>
      <c r="O55" s="507"/>
      <c r="P55" s="507"/>
      <c r="Q55" s="507"/>
      <c r="R55" s="507"/>
      <c r="S55" s="507"/>
      <c r="T55" s="507"/>
      <c r="U55" s="507"/>
      <c r="V55" s="507"/>
      <c r="W55" s="192"/>
    </row>
    <row r="56" spans="1:62" s="5" customFormat="1" ht="19.899999999999999" hidden="1" customHeight="1" x14ac:dyDescent="0.25">
      <c r="A56" s="335" t="s">
        <v>265</v>
      </c>
      <c r="B56" s="7"/>
      <c r="C56" s="507"/>
      <c r="D56" s="507"/>
      <c r="E56" s="507"/>
      <c r="F56" s="7"/>
      <c r="G56" s="507"/>
      <c r="H56" s="507"/>
      <c r="I56" s="507"/>
      <c r="J56" s="507"/>
      <c r="K56" s="507"/>
      <c r="L56" s="507"/>
      <c r="M56" s="507"/>
      <c r="N56" s="507"/>
      <c r="O56" s="507"/>
      <c r="P56" s="507"/>
      <c r="Q56" s="507"/>
      <c r="R56" s="507"/>
      <c r="S56" s="507"/>
      <c r="T56" s="507"/>
      <c r="U56" s="507"/>
      <c r="V56" s="507"/>
      <c r="W56" s="192"/>
    </row>
    <row r="57" spans="1:62" s="5" customFormat="1" ht="19.899999999999999" hidden="1" customHeight="1" x14ac:dyDescent="0.25">
      <c r="A57" s="335"/>
      <c r="B57" s="7"/>
      <c r="C57" s="507"/>
      <c r="D57" s="507"/>
      <c r="E57" s="507"/>
      <c r="F57" s="7"/>
      <c r="G57" s="507"/>
      <c r="H57" s="507"/>
      <c r="I57" s="507"/>
      <c r="J57" s="507"/>
      <c r="K57" s="507"/>
      <c r="L57" s="507"/>
      <c r="M57" s="507"/>
      <c r="N57" s="507"/>
      <c r="O57" s="507"/>
      <c r="P57" s="507"/>
      <c r="Q57" s="507"/>
      <c r="R57" s="507"/>
      <c r="S57" s="507"/>
      <c r="T57" s="507"/>
      <c r="U57" s="507"/>
      <c r="V57" s="507"/>
      <c r="W57" s="192"/>
    </row>
    <row r="58" spans="1:62" s="5" customFormat="1" ht="15" hidden="1" x14ac:dyDescent="0.25">
      <c r="A58" s="485" t="s">
        <v>266</v>
      </c>
      <c r="B58" s="7" t="s">
        <v>267</v>
      </c>
      <c r="C58" s="507"/>
      <c r="D58" s="507"/>
      <c r="E58" s="507"/>
      <c r="F58" s="7"/>
      <c r="G58" s="507"/>
      <c r="H58" s="507"/>
      <c r="I58" s="507"/>
      <c r="J58" s="507"/>
      <c r="K58" s="507"/>
      <c r="L58" s="507"/>
      <c r="M58" s="507"/>
      <c r="N58"/>
      <c r="O58" s="507"/>
      <c r="P58" s="507"/>
      <c r="Q58" s="507"/>
      <c r="R58" s="507"/>
      <c r="S58" s="507"/>
      <c r="T58" s="507"/>
      <c r="U58" s="507"/>
      <c r="V58" s="507"/>
      <c r="W58" s="192"/>
    </row>
    <row r="59" spans="1:62" s="5" customFormat="1" ht="12.75" hidden="1" x14ac:dyDescent="0.2">
      <c r="A59" s="4" t="s">
        <v>268</v>
      </c>
      <c r="B59" s="7" t="s">
        <v>269</v>
      </c>
      <c r="C59" s="507"/>
      <c r="D59" s="507"/>
      <c r="E59" s="507"/>
      <c r="F59" s="7"/>
      <c r="G59" s="507"/>
      <c r="H59" s="507"/>
      <c r="I59" s="507"/>
      <c r="J59" s="507"/>
      <c r="K59" s="507"/>
      <c r="L59" s="507"/>
      <c r="M59" s="507"/>
      <c r="N59" s="507"/>
      <c r="O59" s="507"/>
      <c r="P59" s="507"/>
      <c r="Q59" s="507"/>
      <c r="R59" s="507"/>
      <c r="S59" s="507"/>
      <c r="T59" s="507"/>
      <c r="U59" s="507"/>
      <c r="V59" s="507"/>
      <c r="W59" s="192"/>
    </row>
    <row r="60" spans="1:62" s="5" customFormat="1" ht="12.75" hidden="1" x14ac:dyDescent="0.2">
      <c r="A60" s="4" t="s">
        <v>270</v>
      </c>
      <c r="B60" s="374">
        <v>44</v>
      </c>
      <c r="C60" s="295"/>
      <c r="D60" s="74" t="s">
        <v>271</v>
      </c>
      <c r="E60" s="298">
        <f>(B67*B62-0)/(B61*B63)</f>
        <v>0.39</v>
      </c>
    </row>
    <row r="61" spans="1:62" s="5" customFormat="1" ht="12.75" hidden="1" x14ac:dyDescent="0.2">
      <c r="A61" s="4" t="s">
        <v>272</v>
      </c>
      <c r="B61" s="374">
        <v>1</v>
      </c>
      <c r="C61" s="295"/>
      <c r="D61" s="74" t="s">
        <v>273</v>
      </c>
      <c r="E61" s="298">
        <f>(B66*B62-0)/(B63*B60)</f>
        <v>0.70454545454545459</v>
      </c>
    </row>
    <row r="62" spans="1:62" s="5" customFormat="1" ht="12.75" hidden="1" x14ac:dyDescent="0.2">
      <c r="A62" s="4" t="s">
        <v>274</v>
      </c>
      <c r="B62" s="374">
        <f>(330+150)*2*28</f>
        <v>26880</v>
      </c>
      <c r="C62" s="295"/>
      <c r="D62" s="296"/>
      <c r="E62" s="336"/>
    </row>
    <row r="63" spans="1:62" s="5" customFormat="1" ht="12.75" hidden="1" x14ac:dyDescent="0.2">
      <c r="A63" s="4" t="s">
        <v>275</v>
      </c>
      <c r="B63" s="374">
        <f>B62</f>
        <v>26880</v>
      </c>
      <c r="C63" s="295"/>
      <c r="D63" s="299" t="s">
        <v>276</v>
      </c>
      <c r="E63" s="337">
        <f>MIN(E60:E61)</f>
        <v>0.39</v>
      </c>
    </row>
    <row r="64" spans="1:62" s="5" customFormat="1" ht="12.75" hidden="1" x14ac:dyDescent="0.2">
      <c r="A64" s="4" t="s">
        <v>277</v>
      </c>
      <c r="B64" s="374">
        <v>0</v>
      </c>
      <c r="C64" s="295"/>
      <c r="D64" s="296"/>
      <c r="E64" s="297"/>
    </row>
    <row r="65" spans="1:66" s="5" customFormat="1" ht="12.75" hidden="1" x14ac:dyDescent="0.2">
      <c r="A65" s="4"/>
      <c r="B65" s="374"/>
      <c r="C65" s="295"/>
      <c r="D65" s="296"/>
      <c r="E65" s="297"/>
    </row>
    <row r="66" spans="1:66" s="5" customFormat="1" ht="12.75" hidden="1" x14ac:dyDescent="0.2">
      <c r="A66" s="4" t="s">
        <v>278</v>
      </c>
      <c r="B66" s="374">
        <v>31</v>
      </c>
      <c r="C66" s="9" t="s">
        <v>279</v>
      </c>
      <c r="D66" s="296"/>
      <c r="E66" s="297"/>
    </row>
    <row r="67" spans="1:66" s="5" customFormat="1" ht="12.75" hidden="1" x14ac:dyDescent="0.2">
      <c r="A67" s="4" t="s">
        <v>280</v>
      </c>
      <c r="B67" s="374">
        <v>0.39</v>
      </c>
      <c r="C67" s="9" t="s">
        <v>281</v>
      </c>
      <c r="D67" s="296"/>
      <c r="E67" s="297"/>
    </row>
    <row r="68" spans="1:66" s="5" customFormat="1" ht="12.75" hidden="1" x14ac:dyDescent="0.2">
      <c r="C68" s="295"/>
      <c r="D68" s="296"/>
      <c r="E68" s="297"/>
    </row>
    <row r="69" spans="1:66" s="5" customFormat="1" ht="12.75" hidden="1" x14ac:dyDescent="0.2">
      <c r="C69" s="295"/>
      <c r="D69" s="296"/>
      <c r="E69" s="297"/>
    </row>
    <row r="70" spans="1:66" s="4" customFormat="1" ht="13.5" hidden="1" thickBot="1" x14ac:dyDescent="0.25">
      <c r="B70" s="9"/>
      <c r="G70" s="498"/>
      <c r="U70" s="498"/>
    </row>
    <row r="71" spans="1:66" hidden="1" x14ac:dyDescent="0.2">
      <c r="A71" s="281"/>
      <c r="B71" s="282"/>
      <c r="C71" s="282"/>
      <c r="D71" s="283"/>
      <c r="E71" s="282"/>
      <c r="F71" s="282"/>
      <c r="G71" s="368"/>
      <c r="H71" s="281"/>
      <c r="I71" s="282"/>
      <c r="J71" s="282"/>
      <c r="K71" s="282"/>
      <c r="L71" s="282"/>
      <c r="M71" s="282"/>
      <c r="N71" s="282"/>
      <c r="O71" s="282"/>
      <c r="P71" s="282"/>
      <c r="Q71" s="282"/>
      <c r="R71" s="282"/>
      <c r="S71" s="282"/>
      <c r="T71" s="282"/>
      <c r="U71" s="292"/>
      <c r="V71" s="2"/>
      <c r="W71" s="2"/>
      <c r="X71" s="2"/>
      <c r="Y71" s="2"/>
      <c r="Z71" s="2"/>
      <c r="AA71" s="2"/>
      <c r="AB71" s="2"/>
      <c r="AC71" s="2"/>
      <c r="AD71" s="2"/>
      <c r="AE71" s="2"/>
      <c r="AF71" s="2"/>
      <c r="AG71" s="2"/>
      <c r="AH71" s="2"/>
      <c r="AI71" s="2"/>
      <c r="AJ71" s="2"/>
      <c r="AK71" s="2"/>
      <c r="AL71" s="2"/>
      <c r="AM71" s="2"/>
      <c r="AN71" s="2"/>
      <c r="AO71" s="2"/>
      <c r="AP71" s="2"/>
      <c r="AQ71" s="2"/>
      <c r="AR71" s="2"/>
      <c r="AS71" s="2"/>
      <c r="AT71" s="2"/>
      <c r="AU71" s="2"/>
      <c r="AV71" s="2"/>
      <c r="AW71" s="2"/>
      <c r="AX71" s="2"/>
      <c r="AY71" s="2"/>
      <c r="AZ71" s="2"/>
      <c r="BA71" s="2"/>
      <c r="BB71" s="2"/>
      <c r="BC71" s="2"/>
      <c r="BD71" s="2"/>
      <c r="BE71" s="2"/>
      <c r="BF71" s="2"/>
      <c r="BG71" s="2"/>
      <c r="BH71" s="2"/>
      <c r="BI71" s="2"/>
      <c r="BJ71" s="2"/>
      <c r="BK71" s="2"/>
      <c r="BL71" s="2"/>
      <c r="BM71" s="2"/>
      <c r="BN71" s="2"/>
    </row>
    <row r="72" spans="1:66" hidden="1" x14ac:dyDescent="0.2">
      <c r="A72" s="285"/>
      <c r="B72" s="110"/>
      <c r="C72" s="2"/>
      <c r="D72" s="2"/>
      <c r="E72" s="2"/>
      <c r="F72" s="2"/>
      <c r="G72" s="287"/>
      <c r="H72" s="285"/>
      <c r="I72" s="2"/>
      <c r="J72" s="2"/>
      <c r="K72" s="2"/>
      <c r="L72" s="2"/>
      <c r="M72" s="2"/>
      <c r="N72" s="2"/>
      <c r="O72" s="2"/>
      <c r="P72" s="2"/>
      <c r="Q72" s="2"/>
      <c r="R72" s="2"/>
      <c r="S72" s="2"/>
      <c r="T72" s="2"/>
      <c r="U72" s="287"/>
      <c r="V72" s="2"/>
      <c r="W72" s="2"/>
      <c r="X72" s="2"/>
      <c r="Y72" s="2"/>
      <c r="Z72" s="2"/>
      <c r="AA72" s="2"/>
      <c r="AB72" s="2"/>
      <c r="AC72" s="2"/>
      <c r="AD72" s="2"/>
      <c r="AE72" s="2"/>
      <c r="AF72" s="2"/>
      <c r="AG72" s="2"/>
      <c r="AH72" s="2"/>
      <c r="AI72" s="2"/>
      <c r="AJ72" s="2"/>
      <c r="AK72" s="2"/>
      <c r="AL72" s="2"/>
      <c r="AM72" s="2"/>
      <c r="AN72" s="2"/>
      <c r="AO72" s="2"/>
      <c r="AP72" s="2"/>
      <c r="AQ72" s="2"/>
      <c r="AR72" s="2"/>
      <c r="AS72" s="2"/>
      <c r="AT72" s="2"/>
      <c r="AU72" s="2"/>
      <c r="AV72" s="2"/>
      <c r="AW72" s="2"/>
      <c r="AX72" s="2"/>
      <c r="AY72" s="2"/>
      <c r="AZ72" s="2"/>
      <c r="BA72" s="2"/>
      <c r="BB72" s="2"/>
      <c r="BC72" s="2"/>
      <c r="BD72" s="2"/>
      <c r="BE72" s="2"/>
      <c r="BF72" s="2"/>
      <c r="BG72" s="2"/>
      <c r="BH72" s="2"/>
      <c r="BI72" s="2"/>
      <c r="BJ72" s="2"/>
      <c r="BK72" s="2"/>
      <c r="BL72" s="2"/>
      <c r="BM72" s="2"/>
      <c r="BN72" s="2"/>
    </row>
    <row r="73" spans="1:66" ht="15" hidden="1" x14ac:dyDescent="0.25">
      <c r="A73" s="284"/>
      <c r="B73" s="110"/>
      <c r="C73" s="2"/>
      <c r="D73" s="2"/>
      <c r="E73" s="2"/>
      <c r="F73" s="2"/>
      <c r="G73" s="287"/>
      <c r="H73" s="285"/>
      <c r="I73" s="2"/>
      <c r="J73" s="2"/>
      <c r="K73" s="2"/>
      <c r="L73" s="2"/>
      <c r="M73" s="2"/>
      <c r="N73" s="2"/>
      <c r="O73" s="2"/>
      <c r="P73" s="2"/>
      <c r="Q73" s="2"/>
      <c r="R73" s="2"/>
      <c r="S73" s="2"/>
      <c r="T73" s="2"/>
      <c r="U73" s="287"/>
      <c r="V73" s="2"/>
      <c r="W73" s="2"/>
      <c r="X73" s="2"/>
      <c r="Y73" s="2"/>
      <c r="Z73" s="2"/>
      <c r="AA73" s="2"/>
      <c r="AB73" s="2"/>
      <c r="AC73" s="2"/>
      <c r="AD73" s="2"/>
      <c r="AE73" s="2"/>
      <c r="AF73" s="2"/>
      <c r="AG73" s="2"/>
      <c r="AH73" s="2"/>
      <c r="AI73" s="2"/>
      <c r="AJ73" s="2"/>
      <c r="AK73" s="2"/>
      <c r="AL73" s="2"/>
      <c r="AM73" s="2"/>
      <c r="AN73" s="2"/>
      <c r="AO73" s="2"/>
      <c r="AP73" s="2"/>
      <c r="AQ73" s="2"/>
      <c r="AR73" s="2"/>
      <c r="AS73" s="2"/>
      <c r="AT73" s="2"/>
      <c r="AU73" s="2"/>
      <c r="AV73" s="2"/>
      <c r="AW73" s="2"/>
      <c r="AX73" s="2"/>
      <c r="AY73" s="2"/>
      <c r="AZ73" s="2"/>
      <c r="BA73" s="2"/>
      <c r="BB73" s="2"/>
      <c r="BC73" s="2"/>
      <c r="BD73" s="2"/>
      <c r="BE73" s="2"/>
      <c r="BF73" s="2"/>
      <c r="BG73" s="2"/>
      <c r="BH73" s="2"/>
      <c r="BI73" s="2"/>
      <c r="BJ73" s="2"/>
      <c r="BK73" s="2"/>
      <c r="BL73" s="2"/>
      <c r="BM73" s="2"/>
      <c r="BN73" s="2"/>
    </row>
    <row r="74" spans="1:66" hidden="1" x14ac:dyDescent="0.2">
      <c r="A74" s="285"/>
      <c r="B74" s="110"/>
      <c r="C74" s="2"/>
      <c r="D74" s="2"/>
      <c r="E74" s="2"/>
      <c r="F74" s="2"/>
      <c r="G74" s="287"/>
      <c r="H74" s="285"/>
      <c r="I74" s="2"/>
      <c r="J74" s="2"/>
      <c r="K74" s="2"/>
      <c r="L74" s="2"/>
      <c r="M74" s="2"/>
      <c r="N74" s="2"/>
      <c r="O74" s="2"/>
      <c r="P74" s="2"/>
      <c r="Q74" s="2"/>
      <c r="R74" s="2"/>
      <c r="S74" s="2"/>
      <c r="T74" s="2"/>
      <c r="U74" s="287"/>
      <c r="V74" s="2"/>
      <c r="W74" s="2"/>
      <c r="X74" s="2"/>
      <c r="Y74" s="2"/>
      <c r="Z74" s="2"/>
      <c r="AA74" s="2"/>
      <c r="AB74" s="2"/>
      <c r="AC74" s="2"/>
      <c r="AD74" s="2"/>
      <c r="AE74" s="2"/>
      <c r="AF74" s="2"/>
      <c r="AG74" s="2"/>
      <c r="AH74" s="2"/>
      <c r="AI74" s="2"/>
      <c r="AJ74" s="2"/>
      <c r="AK74" s="2"/>
      <c r="AL74" s="2"/>
      <c r="AM74" s="2"/>
      <c r="AN74" s="2"/>
      <c r="AO74" s="2"/>
      <c r="AP74" s="2"/>
      <c r="AQ74" s="2"/>
      <c r="AR74" s="2"/>
      <c r="AS74" s="2"/>
      <c r="AT74" s="2"/>
      <c r="AU74" s="2"/>
      <c r="AV74" s="2"/>
      <c r="AW74" s="2"/>
      <c r="AX74" s="2"/>
      <c r="AY74" s="2"/>
      <c r="AZ74" s="2"/>
      <c r="BA74" s="2"/>
      <c r="BB74" s="2"/>
      <c r="BC74" s="2"/>
      <c r="BD74" s="2"/>
      <c r="BE74" s="2"/>
      <c r="BF74" s="2"/>
      <c r="BG74" s="2"/>
      <c r="BH74" s="2"/>
      <c r="BI74" s="2"/>
      <c r="BJ74" s="2"/>
      <c r="BK74" s="2"/>
      <c r="BL74" s="2"/>
      <c r="BM74" s="2"/>
      <c r="BN74" s="2"/>
    </row>
    <row r="75" spans="1:66" ht="27.6" hidden="1" customHeight="1" x14ac:dyDescent="0.25">
      <c r="A75" s="285"/>
      <c r="B75" s="2"/>
      <c r="C75" s="2"/>
      <c r="D75" s="2"/>
      <c r="E75" s="2"/>
      <c r="F75" s="2"/>
      <c r="G75" s="286"/>
      <c r="H75" s="284"/>
      <c r="I75" s="2"/>
      <c r="J75" s="2"/>
      <c r="K75" s="2"/>
      <c r="L75" s="2"/>
      <c r="M75" s="2"/>
      <c r="N75" s="2"/>
      <c r="O75" s="2"/>
      <c r="P75" s="2"/>
      <c r="Q75" s="2"/>
      <c r="R75" s="2"/>
      <c r="S75" s="4"/>
      <c r="T75" s="2"/>
      <c r="U75" s="286"/>
      <c r="V75" s="2"/>
      <c r="W75" s="2"/>
      <c r="X75" s="2"/>
      <c r="Y75" s="2"/>
      <c r="Z75" s="2"/>
      <c r="AA75" s="2"/>
      <c r="AB75" s="2"/>
      <c r="AC75" s="2"/>
      <c r="AD75" s="2"/>
      <c r="AE75" s="2"/>
      <c r="AF75" s="2"/>
      <c r="AG75" s="2"/>
      <c r="AH75" s="2"/>
      <c r="AI75" s="2"/>
      <c r="AJ75" s="2"/>
      <c r="AK75" s="2"/>
      <c r="AL75" s="2"/>
      <c r="AM75" s="2"/>
      <c r="AN75" s="2"/>
      <c r="AO75" s="2"/>
      <c r="AP75" s="2"/>
      <c r="AQ75" s="2"/>
      <c r="AR75" s="2"/>
      <c r="AS75" s="2"/>
      <c r="AT75" s="2"/>
      <c r="AU75" s="2"/>
      <c r="AV75" s="2"/>
      <c r="AW75" s="2"/>
      <c r="AX75" s="2"/>
      <c r="AY75" s="2"/>
      <c r="AZ75" s="2"/>
      <c r="BA75" s="2"/>
      <c r="BB75" s="2"/>
      <c r="BC75" s="2"/>
      <c r="BD75" s="2"/>
      <c r="BE75" s="2"/>
      <c r="BF75" s="2"/>
      <c r="BG75" s="2"/>
      <c r="BH75" s="2"/>
      <c r="BI75" s="2"/>
      <c r="BJ75" s="2"/>
      <c r="BK75" s="2"/>
      <c r="BL75" s="2"/>
      <c r="BM75" s="2"/>
      <c r="BN75" s="2"/>
    </row>
    <row r="76" spans="1:66" hidden="1" x14ac:dyDescent="0.2">
      <c r="A76" s="285"/>
      <c r="B76" s="2"/>
      <c r="C76" s="2"/>
      <c r="D76" s="2"/>
      <c r="E76" s="2"/>
      <c r="F76" s="2"/>
      <c r="G76" s="286" t="s">
        <v>9</v>
      </c>
      <c r="H76" s="285"/>
      <c r="I76" s="2"/>
      <c r="J76" s="2"/>
      <c r="K76" s="2"/>
      <c r="L76" s="2"/>
      <c r="M76" s="2"/>
      <c r="N76" s="2"/>
      <c r="O76" s="2"/>
      <c r="P76" s="2"/>
      <c r="Q76" s="2" t="s">
        <v>9</v>
      </c>
      <c r="R76" s="2"/>
      <c r="S76" s="2"/>
      <c r="T76" s="2"/>
      <c r="U76" s="286"/>
      <c r="V76" s="2"/>
      <c r="W76" s="2"/>
      <c r="X76" s="2"/>
      <c r="Y76" s="2"/>
      <c r="Z76" s="2"/>
      <c r="AA76" s="2"/>
      <c r="AB76" s="2"/>
      <c r="AC76" s="2"/>
      <c r="AD76" s="2"/>
      <c r="AE76" s="2"/>
      <c r="AF76" s="2"/>
      <c r="AG76" s="2"/>
      <c r="AH76" s="2"/>
      <c r="AI76" s="2"/>
      <c r="AJ76" s="2"/>
      <c r="AK76" s="2"/>
      <c r="AL76" s="2"/>
      <c r="AM76" s="2"/>
      <c r="AN76" s="2"/>
      <c r="AO76" s="2"/>
      <c r="AP76" s="2"/>
      <c r="AQ76" s="2"/>
      <c r="AR76" s="2"/>
      <c r="AS76" s="2"/>
      <c r="AT76" s="2"/>
      <c r="AU76" s="2"/>
      <c r="AV76" s="2"/>
      <c r="AW76" s="2"/>
      <c r="AX76" s="2"/>
      <c r="AY76" s="2"/>
      <c r="AZ76" s="2"/>
      <c r="BA76" s="2"/>
      <c r="BB76" s="2"/>
      <c r="BC76" s="2"/>
      <c r="BD76" s="2"/>
      <c r="BE76" s="2"/>
      <c r="BF76" s="2"/>
      <c r="BG76" s="2"/>
      <c r="BH76" s="2"/>
      <c r="BI76" s="2"/>
      <c r="BJ76" s="2"/>
      <c r="BK76" s="2"/>
      <c r="BL76" s="2"/>
      <c r="BM76" s="2"/>
      <c r="BN76" s="2"/>
    </row>
    <row r="77" spans="1:66" hidden="1" x14ac:dyDescent="0.2">
      <c r="A77" s="285"/>
      <c r="B77" s="2"/>
      <c r="C77" s="2"/>
      <c r="D77" s="2"/>
      <c r="E77" s="2"/>
      <c r="F77" s="2"/>
      <c r="G77" s="286" t="s">
        <v>9</v>
      </c>
      <c r="H77" s="285"/>
      <c r="I77" s="2"/>
      <c r="J77" s="2"/>
      <c r="K77" s="2"/>
      <c r="L77" s="2"/>
      <c r="M77" s="2"/>
      <c r="N77" s="2"/>
      <c r="O77" s="2"/>
      <c r="P77" s="2"/>
      <c r="Q77" s="2" t="s">
        <v>9</v>
      </c>
      <c r="R77" s="2"/>
      <c r="S77" s="2"/>
      <c r="T77" s="2"/>
      <c r="U77" s="293"/>
      <c r="V77" s="2"/>
      <c r="W77" s="2"/>
      <c r="X77" s="2"/>
      <c r="Y77" s="2"/>
      <c r="Z77" s="2"/>
      <c r="AA77" s="2"/>
      <c r="AB77" s="2"/>
      <c r="AC77" s="2"/>
      <c r="AD77" s="2"/>
      <c r="AE77" s="2"/>
      <c r="AF77" s="2"/>
      <c r="AG77" s="2"/>
      <c r="AH77" s="2"/>
      <c r="AI77" s="2"/>
      <c r="AJ77" s="2"/>
      <c r="AK77" s="2"/>
      <c r="AL77" s="2"/>
      <c r="AM77" s="2"/>
      <c r="AN77" s="2"/>
      <c r="AO77" s="2"/>
      <c r="AP77" s="2"/>
      <c r="AQ77" s="2"/>
      <c r="AR77" s="2"/>
      <c r="AS77" s="2"/>
      <c r="AT77" s="2"/>
      <c r="AU77" s="2"/>
      <c r="AV77" s="2"/>
      <c r="AW77" s="2"/>
      <c r="AX77" s="2"/>
      <c r="AY77" s="2"/>
      <c r="AZ77" s="2"/>
      <c r="BA77" s="2"/>
      <c r="BB77" s="2"/>
      <c r="BC77" s="2"/>
      <c r="BD77" s="2"/>
      <c r="BE77" s="2"/>
      <c r="BF77" s="2"/>
      <c r="BG77" s="2"/>
      <c r="BH77" s="2"/>
      <c r="BI77" s="2"/>
      <c r="BJ77" s="2"/>
      <c r="BK77" s="2"/>
      <c r="BL77" s="2"/>
      <c r="BM77" s="2"/>
      <c r="BN77" s="2"/>
    </row>
    <row r="78" spans="1:66" hidden="1" x14ac:dyDescent="0.2">
      <c r="A78" s="285"/>
      <c r="B78" s="110"/>
      <c r="C78" s="2"/>
      <c r="D78" s="2"/>
      <c r="E78" s="2"/>
      <c r="F78" s="2"/>
      <c r="G78" s="287"/>
      <c r="H78" s="285"/>
      <c r="I78" s="2"/>
      <c r="J78" s="2"/>
      <c r="K78" s="2"/>
      <c r="L78" s="2"/>
      <c r="M78" s="2"/>
      <c r="N78" s="2"/>
      <c r="O78" s="2"/>
      <c r="P78" s="2"/>
      <c r="Q78" s="2"/>
      <c r="R78" s="2"/>
      <c r="S78" s="2"/>
      <c r="T78" s="2"/>
      <c r="U78" s="287"/>
      <c r="V78" s="2"/>
      <c r="W78" s="2"/>
      <c r="X78" s="2"/>
      <c r="Y78" s="2"/>
      <c r="Z78" s="2"/>
      <c r="AA78" s="2"/>
      <c r="AB78" s="2"/>
      <c r="AC78" s="2"/>
      <c r="AD78" s="2"/>
      <c r="AE78" s="2"/>
      <c r="AF78" s="2"/>
      <c r="AG78" s="2"/>
      <c r="AH78" s="2"/>
      <c r="AI78" s="2"/>
      <c r="AJ78" s="2"/>
      <c r="AK78" s="2"/>
      <c r="AL78" s="2"/>
      <c r="AM78" s="2"/>
      <c r="AN78" s="2"/>
      <c r="AO78" s="2"/>
      <c r="AP78" s="2"/>
      <c r="AQ78" s="2"/>
      <c r="AR78" s="2"/>
      <c r="AS78" s="2"/>
      <c r="AT78" s="2"/>
      <c r="AU78" s="2"/>
      <c r="AV78" s="2"/>
      <c r="AW78" s="2"/>
      <c r="AX78" s="2"/>
      <c r="AY78" s="2"/>
      <c r="AZ78" s="2"/>
      <c r="BA78" s="2"/>
      <c r="BB78" s="2"/>
      <c r="BC78" s="2"/>
      <c r="BD78" s="2"/>
      <c r="BE78" s="2"/>
      <c r="BF78" s="2"/>
      <c r="BG78" s="2"/>
      <c r="BH78" s="2"/>
      <c r="BI78" s="2"/>
      <c r="BJ78" s="2"/>
      <c r="BK78" s="2"/>
      <c r="BL78" s="2"/>
      <c r="BM78" s="2"/>
      <c r="BN78" s="2"/>
    </row>
    <row r="79" spans="1:66" hidden="1" x14ac:dyDescent="0.2">
      <c r="A79" s="285"/>
      <c r="B79" s="110"/>
      <c r="C79" s="2"/>
      <c r="D79" s="2"/>
      <c r="E79" s="2"/>
      <c r="F79" s="2"/>
      <c r="G79" s="287"/>
      <c r="H79" s="285"/>
      <c r="I79" s="2"/>
      <c r="J79" s="2"/>
      <c r="K79" s="2"/>
      <c r="L79" s="2"/>
      <c r="M79" s="2"/>
      <c r="N79" s="2"/>
      <c r="O79" s="2"/>
      <c r="P79" s="2"/>
      <c r="Q79" s="2"/>
      <c r="R79" s="2"/>
      <c r="S79" s="2"/>
      <c r="T79" s="2"/>
      <c r="U79" s="286"/>
      <c r="V79" s="2"/>
      <c r="W79" s="2"/>
      <c r="X79" s="2"/>
      <c r="Y79" s="2"/>
      <c r="Z79" s="2"/>
      <c r="AA79" s="2"/>
      <c r="AB79" s="2"/>
      <c r="AC79" s="2"/>
      <c r="AD79" s="2"/>
      <c r="AE79" s="2"/>
      <c r="AF79" s="2"/>
      <c r="AG79" s="2"/>
      <c r="AH79" s="2"/>
      <c r="AI79" s="2"/>
      <c r="AJ79" s="2"/>
      <c r="AK79" s="2"/>
      <c r="AL79" s="2"/>
      <c r="AM79" s="2"/>
      <c r="AN79" s="2"/>
      <c r="AO79" s="2"/>
      <c r="AP79" s="2"/>
      <c r="AQ79" s="2"/>
      <c r="AR79" s="2"/>
      <c r="AS79" s="2"/>
      <c r="AT79" s="2"/>
      <c r="AU79" s="2"/>
      <c r="AV79" s="2"/>
      <c r="AW79" s="2"/>
      <c r="AX79" s="2"/>
      <c r="AY79" s="2"/>
      <c r="AZ79" s="2"/>
      <c r="BA79" s="2"/>
      <c r="BB79" s="2"/>
      <c r="BC79" s="2"/>
      <c r="BD79" s="2"/>
      <c r="BE79" s="2"/>
      <c r="BF79" s="2"/>
      <c r="BG79" s="2"/>
      <c r="BH79" s="2"/>
      <c r="BI79" s="2"/>
      <c r="BJ79" s="2"/>
      <c r="BK79" s="2"/>
      <c r="BL79" s="2"/>
      <c r="BM79" s="2"/>
      <c r="BN79" s="2"/>
    </row>
    <row r="80" spans="1:66" hidden="1" x14ac:dyDescent="0.2">
      <c r="A80" s="285"/>
      <c r="B80" s="110"/>
      <c r="C80" s="2"/>
      <c r="D80" s="2"/>
      <c r="E80" s="2"/>
      <c r="F80" s="2"/>
      <c r="G80" s="287"/>
      <c r="H80" s="285"/>
      <c r="I80" s="2"/>
      <c r="J80" s="2"/>
      <c r="K80" s="2"/>
      <c r="L80" s="2"/>
      <c r="M80" s="2"/>
      <c r="N80" s="2"/>
      <c r="O80" s="2"/>
      <c r="P80" s="2"/>
      <c r="Q80" s="2"/>
      <c r="R80" s="2"/>
      <c r="S80" s="2"/>
      <c r="T80" s="2"/>
      <c r="U80" s="286"/>
      <c r="V80" s="2"/>
      <c r="W80" s="2"/>
      <c r="X80" s="2"/>
      <c r="Y80" s="2"/>
      <c r="Z80" s="2"/>
      <c r="AA80" s="2"/>
      <c r="AB80" s="2"/>
      <c r="AC80" s="2"/>
      <c r="AD80" s="2"/>
      <c r="AE80" s="2"/>
      <c r="AF80" s="2"/>
      <c r="AG80" s="2"/>
      <c r="AH80" s="2"/>
      <c r="AI80" s="2"/>
      <c r="AJ80" s="2"/>
      <c r="AK80" s="2"/>
      <c r="AL80" s="2"/>
      <c r="AM80" s="2"/>
      <c r="AN80" s="2"/>
      <c r="AO80" s="2"/>
      <c r="AP80" s="2"/>
      <c r="AQ80" s="2"/>
      <c r="AR80" s="2"/>
      <c r="AS80" s="2"/>
      <c r="AT80" s="2"/>
      <c r="AU80" s="2"/>
      <c r="AV80" s="2"/>
      <c r="AW80" s="2"/>
      <c r="AX80" s="2"/>
      <c r="AY80" s="2"/>
      <c r="AZ80" s="2"/>
      <c r="BA80" s="2"/>
      <c r="BB80" s="2"/>
      <c r="BC80" s="2"/>
      <c r="BD80" s="2"/>
      <c r="BE80" s="2"/>
      <c r="BF80" s="2"/>
      <c r="BG80" s="2"/>
      <c r="BH80" s="2"/>
      <c r="BI80" s="2"/>
      <c r="BJ80" s="2"/>
      <c r="BK80" s="2"/>
      <c r="BL80" s="2"/>
      <c r="BM80" s="2"/>
      <c r="BN80" s="2"/>
    </row>
    <row r="81" spans="1:62" hidden="1" x14ac:dyDescent="0.2">
      <c r="A81" s="285"/>
      <c r="B81" s="110"/>
      <c r="C81" s="2"/>
      <c r="D81" s="2"/>
      <c r="E81" s="2"/>
      <c r="F81" s="2"/>
      <c r="G81" s="287"/>
      <c r="H81" s="285"/>
      <c r="I81" s="2"/>
      <c r="J81" s="2"/>
      <c r="K81" s="2"/>
      <c r="L81" s="2"/>
      <c r="M81" s="2"/>
      <c r="N81" s="2"/>
      <c r="O81" s="2"/>
      <c r="P81" s="2"/>
      <c r="Q81" s="2"/>
      <c r="R81" s="2"/>
      <c r="S81" s="2"/>
      <c r="T81" s="2"/>
      <c r="U81" s="286"/>
      <c r="V81" s="2"/>
      <c r="W81" s="2"/>
      <c r="X81" s="2"/>
      <c r="Y81" s="2"/>
      <c r="Z81" s="2"/>
      <c r="AA81" s="2"/>
      <c r="AB81" s="2"/>
      <c r="AC81" s="2"/>
      <c r="AD81" s="2"/>
      <c r="AE81" s="2"/>
      <c r="AF81" s="2"/>
      <c r="AG81" s="2"/>
      <c r="AH81" s="2"/>
      <c r="AI81" s="2"/>
      <c r="AJ81" s="2"/>
      <c r="AK81" s="2"/>
      <c r="AL81" s="2"/>
      <c r="AM81" s="2"/>
      <c r="AN81" s="2"/>
      <c r="AO81" s="2"/>
      <c r="AP81" s="2"/>
      <c r="AQ81" s="2"/>
      <c r="AR81" s="2"/>
      <c r="AS81" s="2"/>
      <c r="AT81" s="2"/>
      <c r="AU81" s="2"/>
      <c r="AV81" s="2"/>
      <c r="AW81" s="2"/>
      <c r="AX81" s="2"/>
      <c r="AY81" s="2"/>
      <c r="AZ81" s="2"/>
      <c r="BA81" s="2"/>
      <c r="BB81" s="2"/>
      <c r="BC81" s="2"/>
      <c r="BD81" s="2"/>
      <c r="BE81" s="2"/>
      <c r="BF81" s="2"/>
      <c r="BG81" s="2"/>
      <c r="BH81" s="2"/>
      <c r="BI81" s="2"/>
      <c r="BJ81" s="2"/>
    </row>
    <row r="82" spans="1:62" hidden="1" x14ac:dyDescent="0.2">
      <c r="A82" s="285"/>
      <c r="B82" s="110"/>
      <c r="C82" s="2"/>
      <c r="D82" s="2"/>
      <c r="E82" s="2"/>
      <c r="F82" s="2"/>
      <c r="G82" s="287"/>
      <c r="H82" s="285"/>
      <c r="I82" s="2"/>
      <c r="J82" s="2"/>
      <c r="K82" s="2"/>
      <c r="L82" s="2"/>
      <c r="M82" s="2"/>
      <c r="N82" s="2"/>
      <c r="O82" s="2"/>
      <c r="P82" s="2"/>
      <c r="Q82" s="2"/>
      <c r="R82" s="2"/>
      <c r="S82" s="2"/>
      <c r="T82" s="2"/>
      <c r="U82" s="286"/>
      <c r="V82" s="2"/>
      <c r="W82" s="2"/>
      <c r="X82" s="2"/>
      <c r="Y82" s="2"/>
      <c r="Z82" s="2"/>
      <c r="AA82" s="2"/>
      <c r="AB82" s="2"/>
      <c r="AC82" s="2"/>
      <c r="AD82" s="2"/>
      <c r="AE82" s="2"/>
      <c r="AF82" s="2"/>
      <c r="AG82" s="2"/>
      <c r="AH82" s="2"/>
      <c r="AI82" s="2"/>
      <c r="AJ82" s="2"/>
      <c r="AK82" s="2"/>
      <c r="AL82" s="2"/>
      <c r="AM82" s="2"/>
      <c r="AN82" s="2"/>
      <c r="AO82" s="2"/>
      <c r="AP82" s="2"/>
      <c r="AQ82" s="2"/>
      <c r="AR82" s="2"/>
      <c r="AS82" s="2"/>
      <c r="AT82" s="2"/>
      <c r="AU82" s="2"/>
      <c r="AV82" s="2"/>
      <c r="AW82" s="2"/>
      <c r="AX82" s="2"/>
      <c r="AY82" s="2"/>
      <c r="AZ82" s="2"/>
      <c r="BA82" s="2"/>
      <c r="BB82" s="2"/>
      <c r="BC82" s="2"/>
      <c r="BD82" s="2"/>
      <c r="BE82" s="2"/>
      <c r="BF82" s="2"/>
      <c r="BG82" s="2"/>
      <c r="BH82" s="2"/>
      <c r="BI82" s="2"/>
      <c r="BJ82" s="2"/>
    </row>
    <row r="83" spans="1:62" hidden="1" x14ac:dyDescent="0.2">
      <c r="A83" s="285"/>
      <c r="B83" s="110"/>
      <c r="C83" s="2"/>
      <c r="D83" s="2"/>
      <c r="E83" s="2"/>
      <c r="F83" s="2"/>
      <c r="G83" s="287"/>
      <c r="H83" s="285"/>
      <c r="I83" s="2"/>
      <c r="J83" s="2"/>
      <c r="K83" s="2"/>
      <c r="L83" s="2"/>
      <c r="M83" s="2"/>
      <c r="N83" s="2"/>
      <c r="O83" s="2"/>
      <c r="P83" s="2"/>
      <c r="Q83" s="2"/>
      <c r="R83" s="2"/>
      <c r="S83" s="2"/>
      <c r="T83" s="2"/>
      <c r="U83" s="286"/>
      <c r="V83" s="2"/>
      <c r="W83" s="2"/>
      <c r="X83" s="2"/>
      <c r="Y83" s="2"/>
      <c r="Z83" s="2"/>
      <c r="AA83" s="2"/>
      <c r="AB83" s="2"/>
      <c r="AC83" s="2"/>
      <c r="AD83" s="2"/>
      <c r="AE83" s="2"/>
      <c r="AF83" s="2"/>
      <c r="AG83" s="2"/>
      <c r="AH83" s="2"/>
      <c r="AI83" s="2"/>
      <c r="AJ83" s="2"/>
      <c r="AK83" s="2"/>
      <c r="AL83" s="2"/>
      <c r="AM83" s="2"/>
      <c r="AN83" s="2"/>
      <c r="AO83" s="2"/>
      <c r="AP83" s="2"/>
      <c r="AQ83" s="2"/>
      <c r="AR83" s="2"/>
      <c r="AS83" s="2"/>
      <c r="AT83" s="2"/>
      <c r="AU83" s="2"/>
      <c r="AV83" s="2"/>
      <c r="AW83" s="2"/>
      <c r="AX83" s="2"/>
      <c r="AY83" s="2"/>
      <c r="AZ83" s="2"/>
      <c r="BA83" s="2"/>
      <c r="BB83" s="2"/>
      <c r="BC83" s="2"/>
      <c r="BD83" s="2"/>
      <c r="BE83" s="2"/>
      <c r="BF83" s="2"/>
      <c r="BG83" s="2"/>
      <c r="BH83" s="2"/>
      <c r="BI83" s="2"/>
      <c r="BJ83" s="2"/>
    </row>
    <row r="84" spans="1:62" hidden="1" x14ac:dyDescent="0.2">
      <c r="A84" s="285"/>
      <c r="B84" s="110"/>
      <c r="C84" s="2"/>
      <c r="D84" s="2"/>
      <c r="E84" s="2"/>
      <c r="F84" s="2"/>
      <c r="G84" s="287"/>
      <c r="H84" s="285"/>
      <c r="I84" s="2"/>
      <c r="J84" s="2"/>
      <c r="K84" s="2"/>
      <c r="L84" s="2"/>
      <c r="M84" s="2"/>
      <c r="N84" s="2"/>
      <c r="O84" s="2"/>
      <c r="P84" s="2"/>
      <c r="Q84" s="2"/>
      <c r="R84" s="2"/>
      <c r="S84" s="2"/>
      <c r="T84" s="2"/>
      <c r="U84" s="286"/>
      <c r="V84" s="2"/>
      <c r="W84" s="2"/>
      <c r="X84" s="2"/>
      <c r="Y84" s="2"/>
      <c r="Z84" s="2"/>
      <c r="AA84" s="2"/>
      <c r="AB84" s="2"/>
      <c r="AC84" s="2"/>
      <c r="AD84" s="2"/>
      <c r="AE84" s="2"/>
      <c r="AF84" s="2"/>
      <c r="AG84" s="2"/>
      <c r="AH84" s="2"/>
      <c r="AI84" s="2"/>
      <c r="AJ84" s="2"/>
      <c r="AK84" s="2"/>
      <c r="AL84" s="2"/>
      <c r="AM84" s="2"/>
      <c r="AN84" s="2"/>
      <c r="AO84" s="2"/>
      <c r="AP84" s="2"/>
      <c r="AQ84" s="2"/>
      <c r="AR84" s="2"/>
      <c r="AS84" s="2"/>
      <c r="AT84" s="2"/>
      <c r="AU84" s="2"/>
      <c r="AV84" s="2"/>
      <c r="AW84" s="2"/>
      <c r="AX84" s="2"/>
      <c r="AY84" s="2"/>
      <c r="AZ84" s="2"/>
      <c r="BA84" s="2"/>
      <c r="BB84" s="2"/>
      <c r="BC84" s="2"/>
      <c r="BD84" s="2"/>
      <c r="BE84" s="2"/>
      <c r="BF84" s="2"/>
      <c r="BG84" s="2"/>
      <c r="BH84" s="2"/>
      <c r="BI84" s="2"/>
      <c r="BJ84" s="2"/>
    </row>
    <row r="85" spans="1:62" hidden="1" x14ac:dyDescent="0.2">
      <c r="A85" s="285"/>
      <c r="B85" s="110"/>
      <c r="C85" s="2"/>
      <c r="D85" s="2"/>
      <c r="E85" s="2"/>
      <c r="F85" s="2"/>
      <c r="G85" s="287"/>
      <c r="H85" s="285"/>
      <c r="I85" s="2"/>
      <c r="J85" s="2"/>
      <c r="K85" s="2"/>
      <c r="L85" s="2"/>
      <c r="M85" s="2"/>
      <c r="N85" s="2"/>
      <c r="O85" s="2"/>
      <c r="P85" s="2"/>
      <c r="Q85" s="2"/>
      <c r="R85" s="2"/>
      <c r="S85" s="2"/>
      <c r="T85" s="2"/>
      <c r="U85" s="286"/>
      <c r="V85" s="2"/>
      <c r="W85" s="2"/>
      <c r="X85" s="2"/>
      <c r="Y85" s="2"/>
      <c r="Z85" s="2"/>
      <c r="AA85" s="2"/>
      <c r="AB85" s="2"/>
      <c r="AC85" s="2"/>
      <c r="AD85" s="2"/>
      <c r="AE85" s="2"/>
      <c r="AF85" s="2"/>
      <c r="AG85" s="2"/>
      <c r="AH85" s="2"/>
      <c r="AI85" s="2"/>
      <c r="AJ85" s="2"/>
      <c r="AK85" s="2"/>
      <c r="AL85" s="2"/>
      <c r="AM85" s="2"/>
      <c r="AN85" s="2"/>
      <c r="AO85" s="2"/>
      <c r="AP85" s="2"/>
      <c r="AQ85" s="2"/>
      <c r="AR85" s="2"/>
      <c r="AS85" s="2"/>
      <c r="AT85" s="2"/>
      <c r="AU85" s="2"/>
      <c r="AV85" s="2"/>
      <c r="AW85" s="2"/>
      <c r="AX85" s="2"/>
      <c r="AY85" s="2"/>
      <c r="AZ85" s="2"/>
      <c r="BA85" s="2"/>
      <c r="BB85" s="2"/>
      <c r="BC85" s="2"/>
      <c r="BD85" s="2"/>
      <c r="BE85" s="2"/>
      <c r="BF85" s="2"/>
      <c r="BG85" s="2"/>
      <c r="BH85" s="2"/>
      <c r="BI85" s="2"/>
      <c r="BJ85" s="2"/>
    </row>
    <row r="86" spans="1:62" hidden="1" x14ac:dyDescent="0.2">
      <c r="A86" s="285"/>
      <c r="B86" s="110"/>
      <c r="C86" s="2"/>
      <c r="D86" s="2"/>
      <c r="E86" s="2"/>
      <c r="F86" s="2"/>
      <c r="G86" s="287"/>
      <c r="H86" s="285"/>
      <c r="I86" s="2"/>
      <c r="J86" s="2"/>
      <c r="K86" s="2"/>
      <c r="L86" s="2"/>
      <c r="M86" s="2"/>
      <c r="N86" s="2"/>
      <c r="O86" s="2"/>
      <c r="P86" s="2"/>
      <c r="Q86" s="2"/>
      <c r="R86" s="2"/>
      <c r="S86" s="2"/>
      <c r="T86" s="2"/>
      <c r="U86" s="286"/>
      <c r="V86" s="2"/>
      <c r="W86" s="2"/>
      <c r="X86" s="2"/>
      <c r="Y86" s="2"/>
      <c r="Z86" s="2"/>
      <c r="AA86" s="2"/>
      <c r="AB86" s="2"/>
      <c r="AC86" s="2"/>
      <c r="AD86" s="2"/>
      <c r="AE86" s="2"/>
      <c r="AF86" s="2"/>
      <c r="AG86" s="2"/>
      <c r="AH86" s="2"/>
      <c r="AI86" s="2"/>
      <c r="AJ86" s="2"/>
      <c r="AK86" s="2"/>
      <c r="AL86" s="2"/>
      <c r="AM86" s="2"/>
      <c r="AN86" s="2"/>
      <c r="AO86" s="2"/>
      <c r="AP86" s="2"/>
      <c r="AQ86" s="2"/>
      <c r="AR86" s="2"/>
      <c r="AS86" s="2"/>
      <c r="AT86" s="2"/>
      <c r="AU86" s="2"/>
      <c r="AV86" s="2"/>
      <c r="AW86" s="2"/>
      <c r="AX86" s="2"/>
      <c r="AY86" s="2"/>
      <c r="AZ86" s="2"/>
      <c r="BA86" s="2"/>
      <c r="BB86" s="2"/>
      <c r="BC86" s="2"/>
      <c r="BD86" s="2"/>
      <c r="BE86" s="2"/>
      <c r="BF86" s="2"/>
      <c r="BG86" s="2"/>
      <c r="BH86" s="2"/>
      <c r="BI86" s="2"/>
      <c r="BJ86" s="2"/>
    </row>
    <row r="87" spans="1:62" hidden="1" x14ac:dyDescent="0.2">
      <c r="A87" s="285"/>
      <c r="B87" s="110"/>
      <c r="C87" s="2"/>
      <c r="D87" s="2"/>
      <c r="E87" s="2"/>
      <c r="F87" s="2"/>
      <c r="G87" s="287"/>
      <c r="H87" s="285"/>
      <c r="I87" s="2"/>
      <c r="J87" s="2"/>
      <c r="K87" s="2"/>
      <c r="L87" s="2"/>
      <c r="M87" s="2"/>
      <c r="N87" s="2"/>
      <c r="O87" s="2"/>
      <c r="P87" s="2"/>
      <c r="Q87" s="2"/>
      <c r="R87" s="2"/>
      <c r="S87" s="2"/>
      <c r="T87" s="2"/>
      <c r="U87" s="286"/>
      <c r="V87" s="2"/>
      <c r="W87" s="2"/>
      <c r="X87" s="2"/>
      <c r="Y87" s="2"/>
      <c r="Z87" s="2"/>
      <c r="AA87" s="2"/>
      <c r="AB87" s="2"/>
      <c r="AC87" s="2"/>
      <c r="AD87" s="2"/>
      <c r="AE87" s="2"/>
      <c r="AF87" s="2"/>
      <c r="AG87" s="2"/>
      <c r="AH87" s="2"/>
      <c r="AI87" s="2"/>
      <c r="AJ87" s="2"/>
      <c r="AK87" s="2"/>
      <c r="AL87" s="2"/>
      <c r="AM87" s="2"/>
      <c r="AN87" s="2"/>
      <c r="AO87" s="2"/>
      <c r="AP87" s="2"/>
      <c r="AQ87" s="2"/>
      <c r="AR87" s="2"/>
      <c r="AS87" s="2"/>
      <c r="AT87" s="2"/>
      <c r="AU87" s="2"/>
      <c r="AV87" s="2"/>
      <c r="AW87" s="2"/>
      <c r="AX87" s="2"/>
      <c r="AY87" s="2"/>
      <c r="AZ87" s="2"/>
      <c r="BA87" s="2"/>
      <c r="BB87" s="2"/>
      <c r="BC87" s="2"/>
      <c r="BD87" s="2"/>
      <c r="BE87" s="2"/>
      <c r="BF87" s="2"/>
      <c r="BG87" s="2"/>
      <c r="BH87" s="2"/>
      <c r="BI87" s="2"/>
      <c r="BJ87" s="2"/>
    </row>
    <row r="88" spans="1:62" hidden="1" x14ac:dyDescent="0.2">
      <c r="A88" s="285"/>
      <c r="B88" s="110"/>
      <c r="C88" s="2"/>
      <c r="D88" s="2"/>
      <c r="E88" s="2"/>
      <c r="F88" s="2"/>
      <c r="G88" s="287"/>
      <c r="H88" s="285"/>
      <c r="I88" s="2"/>
      <c r="J88" s="2"/>
      <c r="K88" s="2"/>
      <c r="L88" s="2"/>
      <c r="M88" s="2"/>
      <c r="N88" s="2"/>
      <c r="O88" s="2"/>
      <c r="P88" s="2"/>
      <c r="Q88" s="2"/>
      <c r="R88" s="2"/>
      <c r="S88" s="2"/>
      <c r="T88" s="2"/>
      <c r="U88" s="286"/>
      <c r="V88" s="2"/>
      <c r="W88" s="2"/>
      <c r="X88" s="2"/>
      <c r="Y88" s="2"/>
      <c r="Z88" s="2"/>
      <c r="AA88" s="2"/>
      <c r="AB88" s="2"/>
      <c r="AC88" s="2"/>
      <c r="AD88" s="2"/>
      <c r="AE88" s="2"/>
      <c r="AF88" s="2"/>
      <c r="AG88" s="2"/>
      <c r="AH88" s="2"/>
      <c r="AI88" s="2"/>
      <c r="AJ88" s="2"/>
      <c r="AK88" s="2"/>
      <c r="AL88" s="2"/>
      <c r="AM88" s="2"/>
      <c r="AN88" s="2"/>
      <c r="AO88" s="2"/>
      <c r="AP88" s="2"/>
      <c r="AQ88" s="2"/>
      <c r="AR88" s="2"/>
      <c r="AS88" s="2"/>
      <c r="AT88" s="2"/>
      <c r="AU88" s="2"/>
      <c r="AV88" s="2"/>
      <c r="AW88" s="2"/>
      <c r="AX88" s="2"/>
      <c r="AY88" s="2"/>
      <c r="AZ88" s="2"/>
      <c r="BA88" s="2"/>
      <c r="BB88" s="2"/>
      <c r="BC88" s="2"/>
      <c r="BD88" s="2"/>
      <c r="BE88" s="2"/>
      <c r="BF88" s="2"/>
      <c r="BG88" s="2"/>
      <c r="BH88" s="2"/>
      <c r="BI88" s="2"/>
      <c r="BJ88" s="2"/>
    </row>
    <row r="89" spans="1:62" hidden="1" x14ac:dyDescent="0.2">
      <c r="A89" s="285"/>
      <c r="B89" s="110"/>
      <c r="C89" s="2"/>
      <c r="D89" s="2"/>
      <c r="E89" s="2"/>
      <c r="F89" s="2"/>
      <c r="G89" s="287"/>
      <c r="H89" s="285"/>
      <c r="I89" s="2"/>
      <c r="J89" s="2"/>
      <c r="K89" s="2"/>
      <c r="L89" s="2"/>
      <c r="M89" s="2"/>
      <c r="N89" s="2"/>
      <c r="O89" s="2"/>
      <c r="P89" s="2"/>
      <c r="Q89" s="2"/>
      <c r="R89" s="2"/>
      <c r="S89" s="2"/>
      <c r="T89" s="2"/>
      <c r="U89" s="286"/>
      <c r="V89" s="2"/>
      <c r="W89" s="2"/>
      <c r="X89" s="2"/>
      <c r="Y89" s="2"/>
      <c r="Z89" s="2"/>
      <c r="AA89" s="2"/>
      <c r="AB89" s="2"/>
      <c r="AC89" s="2"/>
      <c r="AD89" s="2"/>
      <c r="AE89" s="2"/>
      <c r="AF89" s="2"/>
      <c r="AG89" s="2"/>
      <c r="AH89" s="2"/>
      <c r="AI89" s="2"/>
      <c r="AJ89" s="2"/>
      <c r="AK89" s="2"/>
      <c r="AL89" s="2"/>
      <c r="AM89" s="2"/>
      <c r="AN89" s="2"/>
      <c r="AO89" s="2"/>
      <c r="AP89" s="2"/>
      <c r="AQ89" s="2"/>
      <c r="AR89" s="2"/>
      <c r="AS89" s="2"/>
      <c r="AT89" s="2"/>
      <c r="AU89" s="2"/>
      <c r="AV89" s="2"/>
      <c r="AW89" s="2"/>
      <c r="AX89" s="2"/>
      <c r="AY89" s="2"/>
      <c r="AZ89" s="2"/>
      <c r="BA89" s="2"/>
      <c r="BB89" s="2"/>
      <c r="BC89" s="2"/>
      <c r="BD89" s="2"/>
      <c r="BE89" s="2"/>
      <c r="BF89" s="2"/>
      <c r="BG89" s="2"/>
      <c r="BH89" s="2"/>
      <c r="BI89" s="2"/>
      <c r="BJ89" s="2"/>
    </row>
    <row r="90" spans="1:62" hidden="1" x14ac:dyDescent="0.2">
      <c r="A90" s="285"/>
      <c r="B90" s="110"/>
      <c r="C90" s="2"/>
      <c r="D90" s="2"/>
      <c r="E90" s="2"/>
      <c r="F90" s="2"/>
      <c r="G90" s="287"/>
      <c r="H90" s="285"/>
      <c r="I90" s="2"/>
      <c r="J90" s="2"/>
      <c r="K90" s="2"/>
      <c r="L90" s="2"/>
      <c r="M90" s="2"/>
      <c r="N90" s="2"/>
      <c r="O90" s="2"/>
      <c r="P90" s="2"/>
      <c r="Q90" s="2"/>
      <c r="R90" s="2"/>
      <c r="S90" s="2"/>
      <c r="T90" s="2"/>
      <c r="U90" s="286"/>
      <c r="V90" s="2"/>
      <c r="W90" s="2"/>
      <c r="X90" s="2"/>
      <c r="Y90" s="2"/>
      <c r="Z90" s="2"/>
      <c r="AA90" s="2"/>
      <c r="AB90" s="2"/>
      <c r="AC90" s="2"/>
      <c r="AD90" s="2"/>
      <c r="AE90" s="2"/>
      <c r="AF90" s="2"/>
      <c r="AG90" s="2"/>
      <c r="AH90" s="2"/>
      <c r="AI90" s="2"/>
      <c r="AJ90" s="2"/>
      <c r="AK90" s="2"/>
      <c r="AL90" s="2"/>
      <c r="AM90" s="2"/>
      <c r="AN90" s="2"/>
      <c r="AO90" s="2"/>
      <c r="AP90" s="2"/>
      <c r="AQ90" s="2"/>
      <c r="AR90" s="2"/>
      <c r="AS90" s="2"/>
      <c r="AT90" s="2"/>
      <c r="AU90" s="2"/>
      <c r="AV90" s="2"/>
      <c r="AW90" s="2"/>
      <c r="AX90" s="2"/>
      <c r="AY90" s="2"/>
      <c r="AZ90" s="2"/>
      <c r="BA90" s="2"/>
      <c r="BB90" s="2"/>
      <c r="BC90" s="2"/>
      <c r="BD90" s="2"/>
      <c r="BE90" s="2"/>
      <c r="BF90" s="2"/>
      <c r="BG90" s="2"/>
      <c r="BH90" s="2"/>
      <c r="BI90" s="2"/>
      <c r="BJ90" s="2"/>
    </row>
    <row r="91" spans="1:62" hidden="1" x14ac:dyDescent="0.2">
      <c r="A91" s="285"/>
      <c r="B91" s="110"/>
      <c r="C91" s="2"/>
      <c r="D91" s="2"/>
      <c r="E91" s="2"/>
      <c r="F91" s="2"/>
      <c r="G91" s="287"/>
      <c r="H91" s="285"/>
      <c r="I91" s="2"/>
      <c r="J91" s="2"/>
      <c r="K91" s="2"/>
      <c r="L91" s="2"/>
      <c r="M91" s="2"/>
      <c r="N91" s="2"/>
      <c r="O91" s="2"/>
      <c r="P91" s="2"/>
      <c r="Q91" s="2"/>
      <c r="R91" s="2"/>
      <c r="S91" s="2"/>
      <c r="T91" s="2"/>
      <c r="U91" s="286"/>
      <c r="V91" s="2"/>
      <c r="W91" s="2"/>
      <c r="X91" s="2"/>
      <c r="Y91" s="2"/>
      <c r="Z91" s="2"/>
      <c r="AA91" s="2"/>
      <c r="AB91" s="2"/>
      <c r="AC91" s="2"/>
      <c r="AD91" s="2"/>
      <c r="AE91" s="2"/>
      <c r="AF91" s="2"/>
      <c r="AG91" s="2"/>
      <c r="AH91" s="2"/>
      <c r="AI91" s="2"/>
      <c r="AJ91" s="2"/>
      <c r="AK91" s="2"/>
      <c r="AL91" s="2"/>
      <c r="AM91" s="2"/>
      <c r="AN91" s="2"/>
      <c r="AO91" s="2"/>
      <c r="AP91" s="2"/>
      <c r="AQ91" s="2"/>
      <c r="AR91" s="2"/>
      <c r="AS91" s="2"/>
      <c r="AT91" s="2"/>
      <c r="AU91" s="2"/>
      <c r="AV91" s="2"/>
      <c r="AW91" s="2"/>
      <c r="AX91" s="2"/>
      <c r="AY91" s="2"/>
      <c r="AZ91" s="2"/>
      <c r="BA91" s="2"/>
      <c r="BB91" s="2"/>
      <c r="BC91" s="2"/>
      <c r="BD91" s="2"/>
      <c r="BE91" s="2"/>
      <c r="BF91" s="2"/>
      <c r="BG91" s="2"/>
      <c r="BH91" s="2"/>
      <c r="BI91" s="2"/>
      <c r="BJ91" s="2"/>
    </row>
    <row r="92" spans="1:62" hidden="1" x14ac:dyDescent="0.2">
      <c r="A92" s="285"/>
      <c r="B92" s="110"/>
      <c r="C92" s="2"/>
      <c r="D92" s="2"/>
      <c r="E92" s="2"/>
      <c r="F92" s="2"/>
      <c r="G92" s="287"/>
      <c r="H92" s="285"/>
      <c r="I92" s="2"/>
      <c r="J92" s="2"/>
      <c r="K92" s="2"/>
      <c r="L92" s="2"/>
      <c r="M92" s="2"/>
      <c r="N92" s="2"/>
      <c r="O92" s="2"/>
      <c r="P92" s="2"/>
      <c r="Q92" s="2"/>
      <c r="R92" s="2"/>
      <c r="S92" s="2"/>
      <c r="T92" s="2"/>
      <c r="U92" s="286"/>
      <c r="V92" s="2"/>
      <c r="W92" s="2"/>
      <c r="X92" s="2"/>
      <c r="Y92" s="2"/>
      <c r="Z92" s="2"/>
      <c r="AA92" s="2"/>
      <c r="AB92" s="2"/>
      <c r="AC92" s="2"/>
      <c r="AD92" s="2"/>
      <c r="AE92" s="2"/>
      <c r="AF92" s="2"/>
      <c r="AG92" s="2"/>
      <c r="AH92" s="2"/>
      <c r="AI92" s="2"/>
      <c r="AJ92" s="2"/>
      <c r="AK92" s="2"/>
      <c r="AL92" s="2"/>
      <c r="AM92" s="2"/>
      <c r="AN92" s="2"/>
      <c r="AO92" s="2"/>
      <c r="AP92" s="2"/>
      <c r="AQ92" s="2"/>
      <c r="AR92" s="2"/>
      <c r="AS92" s="2"/>
      <c r="AT92" s="2"/>
      <c r="AU92" s="2"/>
      <c r="AV92" s="2"/>
      <c r="AW92" s="2"/>
      <c r="AX92" s="2"/>
      <c r="AY92" s="2"/>
      <c r="AZ92" s="2"/>
      <c r="BA92" s="2"/>
      <c r="BB92" s="2"/>
      <c r="BC92" s="2"/>
      <c r="BD92" s="2"/>
      <c r="BE92" s="2"/>
      <c r="BF92" s="2"/>
      <c r="BG92" s="2"/>
      <c r="BH92" s="2"/>
      <c r="BI92" s="2"/>
      <c r="BJ92" s="2"/>
    </row>
    <row r="93" spans="1:62" hidden="1" x14ac:dyDescent="0.2">
      <c r="A93" s="285"/>
      <c r="B93" s="110"/>
      <c r="C93" s="2"/>
      <c r="D93" s="2"/>
      <c r="E93" s="2"/>
      <c r="F93" s="2"/>
      <c r="G93" s="287"/>
      <c r="H93" s="285"/>
      <c r="I93" s="2"/>
      <c r="J93" s="2"/>
      <c r="K93" s="2"/>
      <c r="L93" s="2"/>
      <c r="M93" s="2"/>
      <c r="N93" s="2"/>
      <c r="O93" s="2"/>
      <c r="P93" s="2"/>
      <c r="Q93" s="2"/>
      <c r="R93" s="2"/>
      <c r="S93" s="2"/>
      <c r="T93" s="2"/>
      <c r="U93" s="286"/>
      <c r="V93" s="2"/>
      <c r="W93" s="2"/>
      <c r="X93" s="2"/>
      <c r="Y93" s="2"/>
      <c r="Z93" s="2"/>
      <c r="AA93" s="2"/>
      <c r="AB93" s="2"/>
      <c r="AC93" s="2"/>
      <c r="AD93" s="2"/>
      <c r="AE93" s="2"/>
      <c r="AF93" s="2"/>
      <c r="AG93" s="2"/>
      <c r="AH93" s="2"/>
      <c r="AI93" s="2"/>
      <c r="AJ93" s="2"/>
      <c r="AK93" s="2"/>
      <c r="AL93" s="2"/>
      <c r="AM93" s="2"/>
      <c r="AN93" s="2"/>
      <c r="AO93" s="2"/>
      <c r="AP93" s="2"/>
      <c r="AQ93" s="2"/>
      <c r="AR93" s="2"/>
      <c r="AS93" s="2"/>
      <c r="AT93" s="2"/>
      <c r="AU93" s="2"/>
      <c r="AV93" s="2"/>
      <c r="AW93" s="2"/>
      <c r="AX93" s="2"/>
      <c r="AY93" s="2"/>
      <c r="AZ93" s="2"/>
      <c r="BA93" s="2"/>
      <c r="BB93" s="2"/>
      <c r="BC93" s="2"/>
      <c r="BD93" s="2"/>
      <c r="BE93" s="2"/>
      <c r="BF93" s="2"/>
      <c r="BG93" s="2"/>
      <c r="BH93" s="2"/>
      <c r="BI93" s="2"/>
      <c r="BJ93" s="2"/>
    </row>
    <row r="94" spans="1:62" hidden="1" x14ac:dyDescent="0.2">
      <c r="A94" s="285"/>
      <c r="B94" s="110"/>
      <c r="C94" s="2"/>
      <c r="D94" s="2"/>
      <c r="E94" s="2"/>
      <c r="F94" s="2"/>
      <c r="G94" s="287"/>
      <c r="H94" s="285"/>
      <c r="I94" s="2"/>
      <c r="J94" s="2"/>
      <c r="K94" s="2"/>
      <c r="L94" s="2"/>
      <c r="M94" s="2"/>
      <c r="N94" s="2"/>
      <c r="O94" s="2"/>
      <c r="P94" s="2"/>
      <c r="Q94" s="2"/>
      <c r="R94" s="2"/>
      <c r="S94" s="2"/>
      <c r="T94" s="2"/>
      <c r="U94" s="286"/>
      <c r="V94" s="2"/>
      <c r="W94" s="2"/>
      <c r="X94" s="2"/>
      <c r="Y94" s="2"/>
      <c r="Z94" s="2"/>
      <c r="AA94" s="2"/>
      <c r="AB94" s="2"/>
      <c r="AC94" s="2"/>
      <c r="AD94" s="2"/>
      <c r="AE94" s="2"/>
      <c r="AF94" s="2"/>
      <c r="AG94" s="2"/>
      <c r="AH94" s="2"/>
      <c r="AI94" s="2"/>
      <c r="AJ94" s="2"/>
      <c r="AK94" s="2"/>
      <c r="AL94" s="2"/>
      <c r="AM94" s="2"/>
      <c r="AN94" s="2"/>
      <c r="AO94" s="2"/>
      <c r="AP94" s="2"/>
      <c r="AQ94" s="2"/>
      <c r="AR94" s="2"/>
      <c r="AS94" s="2"/>
      <c r="AT94" s="2"/>
      <c r="AU94" s="2"/>
      <c r="AV94" s="2"/>
      <c r="AW94" s="2"/>
      <c r="AX94" s="2"/>
      <c r="AY94" s="2"/>
      <c r="AZ94" s="2"/>
      <c r="BA94" s="2"/>
      <c r="BB94" s="2"/>
      <c r="BC94" s="2"/>
      <c r="BD94" s="2"/>
      <c r="BE94" s="2"/>
      <c r="BF94" s="2"/>
      <c r="BG94" s="2"/>
      <c r="BH94" s="2"/>
      <c r="BI94" s="2"/>
      <c r="BJ94" s="2"/>
    </row>
    <row r="95" spans="1:62" hidden="1" x14ac:dyDescent="0.2">
      <c r="A95" s="285"/>
      <c r="B95" s="110"/>
      <c r="C95" s="2"/>
      <c r="D95" s="2"/>
      <c r="E95" s="2"/>
      <c r="F95" s="2"/>
      <c r="G95" s="287"/>
      <c r="H95" s="285"/>
      <c r="I95" s="2"/>
      <c r="J95" s="2"/>
      <c r="K95" s="2"/>
      <c r="L95" s="2"/>
      <c r="M95" s="2"/>
      <c r="N95" s="2"/>
      <c r="O95" s="2"/>
      <c r="P95" s="2"/>
      <c r="Q95" s="2"/>
      <c r="R95" s="2"/>
      <c r="S95" s="2"/>
      <c r="T95" s="2"/>
      <c r="U95" s="286"/>
      <c r="V95" s="2"/>
      <c r="W95" s="2"/>
      <c r="X95" s="2"/>
      <c r="Y95" s="2"/>
      <c r="Z95" s="2"/>
      <c r="AA95" s="2"/>
      <c r="AB95" s="2"/>
      <c r="AC95" s="2"/>
      <c r="AD95" s="2"/>
      <c r="AE95" s="2"/>
      <c r="AF95" s="2"/>
      <c r="AG95" s="2"/>
      <c r="AH95" s="2"/>
      <c r="AI95" s="2"/>
      <c r="AJ95" s="2"/>
      <c r="AK95" s="2"/>
      <c r="AL95" s="2"/>
      <c r="AM95" s="2"/>
      <c r="AN95" s="2"/>
      <c r="AO95" s="2"/>
      <c r="AP95" s="2"/>
      <c r="AQ95" s="2"/>
      <c r="AR95" s="2"/>
      <c r="AS95" s="2"/>
      <c r="AT95" s="2"/>
      <c r="AU95" s="2"/>
      <c r="AV95" s="2"/>
      <c r="AW95" s="2"/>
      <c r="AX95" s="2"/>
      <c r="AY95" s="2"/>
      <c r="AZ95" s="2"/>
      <c r="BA95" s="2"/>
      <c r="BB95" s="2"/>
      <c r="BC95" s="2"/>
      <c r="BD95" s="2"/>
      <c r="BE95" s="2"/>
      <c r="BF95" s="2"/>
      <c r="BG95" s="2"/>
      <c r="BH95" s="2"/>
      <c r="BI95" s="2"/>
      <c r="BJ95" s="2"/>
    </row>
    <row r="96" spans="1:62" hidden="1" x14ac:dyDescent="0.2">
      <c r="A96" s="285"/>
      <c r="B96" s="110"/>
      <c r="C96" s="2"/>
      <c r="D96" s="2"/>
      <c r="E96" s="2"/>
      <c r="F96" s="2"/>
      <c r="G96" s="287"/>
      <c r="H96" s="285"/>
      <c r="I96" s="2"/>
      <c r="J96" s="2"/>
      <c r="K96" s="2"/>
      <c r="L96" s="2"/>
      <c r="M96" s="2"/>
      <c r="N96" s="2"/>
      <c r="O96" s="2"/>
      <c r="P96" s="2"/>
      <c r="Q96" s="2"/>
      <c r="R96" s="2"/>
      <c r="S96" s="2"/>
      <c r="T96" s="2"/>
      <c r="U96" s="286"/>
      <c r="V96" s="2"/>
      <c r="W96" s="2"/>
      <c r="X96" s="2"/>
      <c r="Y96" s="2"/>
      <c r="Z96" s="2"/>
      <c r="AA96" s="2"/>
      <c r="AB96" s="2"/>
      <c r="AC96" s="2"/>
      <c r="AD96" s="2"/>
      <c r="AE96" s="2"/>
      <c r="AF96" s="2"/>
      <c r="AG96" s="2"/>
      <c r="AH96" s="2"/>
      <c r="AI96" s="2"/>
      <c r="AJ96" s="2"/>
      <c r="AK96" s="2"/>
      <c r="AL96" s="2"/>
      <c r="AM96" s="2"/>
      <c r="AN96" s="2"/>
      <c r="AO96" s="2"/>
      <c r="AP96" s="2"/>
      <c r="AQ96" s="2"/>
      <c r="AR96" s="2"/>
      <c r="AS96" s="2"/>
      <c r="AT96" s="2"/>
      <c r="AU96" s="2"/>
      <c r="AV96" s="2"/>
      <c r="AW96" s="2"/>
      <c r="AX96" s="2"/>
      <c r="AY96" s="2"/>
      <c r="AZ96" s="2"/>
      <c r="BA96" s="2"/>
      <c r="BB96" s="2"/>
      <c r="BC96" s="2"/>
      <c r="BD96" s="2"/>
      <c r="BE96" s="2"/>
      <c r="BF96" s="2"/>
      <c r="BG96" s="2"/>
      <c r="BH96" s="2"/>
      <c r="BI96" s="2"/>
      <c r="BJ96" s="2"/>
    </row>
    <row r="97" spans="1:62" hidden="1" x14ac:dyDescent="0.2">
      <c r="A97" s="285"/>
      <c r="B97" s="110"/>
      <c r="C97" s="2"/>
      <c r="D97" s="2"/>
      <c r="E97" s="2"/>
      <c r="F97" s="2"/>
      <c r="G97" s="287"/>
      <c r="H97" s="285"/>
      <c r="I97" s="2"/>
      <c r="J97" s="2"/>
      <c r="K97" s="2"/>
      <c r="L97" s="2"/>
      <c r="M97" s="2"/>
      <c r="N97" s="2"/>
      <c r="O97" s="2"/>
      <c r="P97" s="2"/>
      <c r="Q97" s="2"/>
      <c r="R97" s="2"/>
      <c r="S97" s="2"/>
      <c r="T97" s="2"/>
      <c r="U97" s="286"/>
      <c r="V97" s="2"/>
      <c r="W97" s="2"/>
      <c r="X97" s="2"/>
      <c r="Y97" s="2"/>
      <c r="Z97" s="2"/>
      <c r="AA97" s="2"/>
      <c r="AB97" s="2"/>
      <c r="AC97" s="2"/>
      <c r="AD97" s="2"/>
      <c r="AE97" s="2"/>
      <c r="AF97" s="2"/>
      <c r="AG97" s="2"/>
      <c r="AH97" s="2"/>
      <c r="AI97" s="2"/>
      <c r="AJ97" s="2"/>
      <c r="AK97" s="2"/>
      <c r="AL97" s="2"/>
      <c r="AM97" s="2"/>
      <c r="AN97" s="2"/>
      <c r="AO97" s="2"/>
      <c r="AP97" s="2"/>
      <c r="AQ97" s="2"/>
      <c r="AR97" s="2"/>
      <c r="AS97" s="2"/>
      <c r="AT97" s="2"/>
      <c r="AU97" s="2"/>
      <c r="AV97" s="2"/>
      <c r="AW97" s="2"/>
      <c r="AX97" s="2"/>
      <c r="AY97" s="2"/>
      <c r="AZ97" s="2"/>
      <c r="BA97" s="2"/>
      <c r="BB97" s="2"/>
      <c r="BC97" s="2"/>
      <c r="BD97" s="2"/>
      <c r="BE97" s="2"/>
      <c r="BF97" s="2"/>
      <c r="BG97" s="2"/>
      <c r="BH97" s="2"/>
      <c r="BI97" s="2"/>
      <c r="BJ97" s="2"/>
    </row>
    <row r="98" spans="1:62" hidden="1" x14ac:dyDescent="0.2">
      <c r="A98" s="285"/>
      <c r="B98" s="110"/>
      <c r="C98" s="2"/>
      <c r="D98" s="2"/>
      <c r="E98" s="2"/>
      <c r="F98" s="2"/>
      <c r="G98" s="287"/>
      <c r="H98" s="285"/>
      <c r="I98" s="2"/>
      <c r="J98" s="2"/>
      <c r="K98" s="2"/>
      <c r="L98" s="2"/>
      <c r="M98" s="2"/>
      <c r="N98" s="2"/>
      <c r="O98" s="2"/>
      <c r="P98" s="2"/>
      <c r="Q98" s="2"/>
      <c r="R98" s="2"/>
      <c r="S98" s="2"/>
      <c r="T98" s="2"/>
      <c r="U98" s="286"/>
      <c r="V98" s="2"/>
      <c r="W98" s="2"/>
      <c r="X98" s="2"/>
      <c r="Y98" s="2"/>
      <c r="Z98" s="2"/>
      <c r="AA98" s="2"/>
      <c r="AB98" s="2"/>
      <c r="AC98" s="2"/>
      <c r="AD98" s="2"/>
      <c r="AE98" s="2"/>
      <c r="AF98" s="2"/>
      <c r="AG98" s="2"/>
      <c r="AH98" s="2"/>
      <c r="AI98" s="2"/>
      <c r="AJ98" s="2"/>
      <c r="AK98" s="2"/>
      <c r="AL98" s="2"/>
      <c r="AM98" s="2"/>
      <c r="AN98" s="2"/>
      <c r="AO98" s="2"/>
      <c r="AP98" s="2"/>
      <c r="AQ98" s="2"/>
      <c r="AR98" s="2"/>
      <c r="AS98" s="2"/>
      <c r="AT98" s="2"/>
      <c r="AU98" s="2"/>
      <c r="AV98" s="2"/>
      <c r="AW98" s="2"/>
      <c r="AX98" s="2"/>
      <c r="AY98" s="2"/>
      <c r="AZ98" s="2"/>
      <c r="BA98" s="2"/>
      <c r="BB98" s="2"/>
      <c r="BC98" s="2"/>
      <c r="BD98" s="2"/>
      <c r="BE98" s="2"/>
      <c r="BF98" s="2"/>
      <c r="BG98" s="2"/>
      <c r="BH98" s="2"/>
      <c r="BI98" s="2"/>
      <c r="BJ98" s="2"/>
    </row>
    <row r="99" spans="1:62" hidden="1" x14ac:dyDescent="0.2">
      <c r="A99" s="285"/>
      <c r="B99" s="110"/>
      <c r="C99" s="2"/>
      <c r="D99" s="2"/>
      <c r="E99" s="2"/>
      <c r="F99" s="2"/>
      <c r="G99" s="287"/>
      <c r="H99" s="285"/>
      <c r="I99" s="2"/>
      <c r="J99" s="2"/>
      <c r="K99" s="2"/>
      <c r="L99" s="2"/>
      <c r="M99" s="2"/>
      <c r="N99" s="2"/>
      <c r="O99" s="2"/>
      <c r="P99" s="2"/>
      <c r="Q99" s="2"/>
      <c r="R99" s="2"/>
      <c r="S99" s="2"/>
      <c r="T99" s="2"/>
      <c r="U99" s="286"/>
      <c r="V99" s="2"/>
      <c r="W99" s="2"/>
      <c r="X99" s="2"/>
      <c r="Y99" s="2"/>
      <c r="Z99" s="2"/>
      <c r="AA99" s="2"/>
      <c r="AB99" s="2"/>
      <c r="AC99" s="2"/>
      <c r="AD99" s="2"/>
      <c r="AE99" s="2"/>
      <c r="AF99" s="2"/>
      <c r="AG99" s="2"/>
      <c r="AH99" s="2"/>
      <c r="AI99" s="2"/>
      <c r="AJ99" s="2"/>
      <c r="AK99" s="2"/>
      <c r="AL99" s="2"/>
      <c r="AM99" s="2"/>
      <c r="AN99" s="2"/>
      <c r="AO99" s="2"/>
      <c r="AP99" s="2"/>
      <c r="AQ99" s="2"/>
      <c r="AR99" s="2"/>
      <c r="AS99" s="2"/>
      <c r="AT99" s="2"/>
      <c r="AU99" s="2"/>
      <c r="AV99" s="2"/>
      <c r="AW99" s="2"/>
      <c r="AX99" s="2"/>
      <c r="AY99" s="2"/>
      <c r="AZ99" s="2"/>
      <c r="BA99" s="2"/>
      <c r="BB99" s="2"/>
      <c r="BC99" s="2"/>
      <c r="BD99" s="2"/>
      <c r="BE99" s="2"/>
      <c r="BF99" s="2"/>
      <c r="BG99" s="2"/>
      <c r="BH99" s="2"/>
      <c r="BI99" s="2"/>
      <c r="BJ99" s="2"/>
    </row>
    <row r="100" spans="1:62" hidden="1" x14ac:dyDescent="0.2">
      <c r="A100" s="285"/>
      <c r="B100" s="110"/>
      <c r="C100" s="2"/>
      <c r="D100" s="2"/>
      <c r="E100" s="2"/>
      <c r="F100" s="2"/>
      <c r="G100" s="287"/>
      <c r="H100" s="285"/>
      <c r="I100" s="2"/>
      <c r="J100" s="2"/>
      <c r="K100" s="2"/>
      <c r="L100" s="2"/>
      <c r="M100" s="2"/>
      <c r="N100" s="2"/>
      <c r="O100" s="2"/>
      <c r="P100" s="2"/>
      <c r="Q100" s="2"/>
      <c r="R100" s="2"/>
      <c r="S100" s="2"/>
      <c r="T100" s="2"/>
      <c r="U100" s="286"/>
      <c r="V100" s="2"/>
      <c r="W100" s="2"/>
      <c r="X100" s="2"/>
      <c r="Y100" s="2"/>
      <c r="Z100" s="2"/>
      <c r="AA100" s="2"/>
      <c r="AB100" s="2"/>
      <c r="AC100" s="2"/>
      <c r="AD100" s="2"/>
      <c r="AE100" s="2"/>
      <c r="AF100" s="2"/>
      <c r="AG100" s="2"/>
      <c r="AH100" s="2"/>
      <c r="AI100" s="2"/>
      <c r="AJ100" s="2"/>
      <c r="AK100" s="2"/>
      <c r="AL100" s="2"/>
      <c r="AM100" s="2"/>
      <c r="AN100" s="2"/>
      <c r="AO100" s="2"/>
      <c r="AP100" s="2"/>
      <c r="AQ100" s="2"/>
      <c r="AR100" s="2"/>
      <c r="AS100" s="2"/>
      <c r="AT100" s="2"/>
      <c r="AU100" s="2"/>
      <c r="AV100" s="2"/>
      <c r="AW100" s="2"/>
      <c r="AX100" s="2"/>
      <c r="AY100" s="2"/>
      <c r="AZ100" s="2"/>
      <c r="BA100" s="2"/>
      <c r="BB100" s="2"/>
      <c r="BC100" s="2"/>
      <c r="BD100" s="2"/>
      <c r="BE100" s="2"/>
      <c r="BF100" s="2"/>
      <c r="BG100" s="2"/>
      <c r="BH100" s="2"/>
      <c r="BI100" s="2"/>
      <c r="BJ100" s="2"/>
    </row>
    <row r="101" spans="1:62" hidden="1" x14ac:dyDescent="0.2">
      <c r="A101" s="285"/>
      <c r="B101" s="110"/>
      <c r="C101" s="2"/>
      <c r="D101" s="2"/>
      <c r="E101" s="2"/>
      <c r="F101" s="2"/>
      <c r="G101" s="287"/>
      <c r="H101" s="285"/>
      <c r="I101" s="2"/>
      <c r="J101" s="2"/>
      <c r="K101" s="2"/>
      <c r="L101" s="2"/>
      <c r="M101" s="2"/>
      <c r="N101" s="2"/>
      <c r="O101" s="2"/>
      <c r="P101" s="2"/>
      <c r="Q101" s="2"/>
      <c r="R101" s="2"/>
      <c r="S101" s="2"/>
      <c r="T101" s="2"/>
      <c r="U101" s="286"/>
      <c r="V101" s="2"/>
      <c r="W101" s="2"/>
      <c r="X101" s="2"/>
      <c r="Y101" s="2"/>
      <c r="Z101" s="2"/>
      <c r="AA101" s="2"/>
      <c r="AB101" s="2"/>
      <c r="AC101" s="2"/>
      <c r="AD101" s="2"/>
      <c r="AE101" s="2"/>
      <c r="AF101" s="2"/>
      <c r="AG101" s="2"/>
      <c r="AH101" s="2"/>
      <c r="AI101" s="2"/>
      <c r="AJ101" s="2"/>
      <c r="AK101" s="2"/>
      <c r="AL101" s="2"/>
      <c r="AM101" s="2"/>
      <c r="AN101" s="2"/>
      <c r="AO101" s="2"/>
      <c r="AP101" s="2"/>
      <c r="AQ101" s="2"/>
      <c r="AR101" s="2"/>
      <c r="AS101" s="2"/>
      <c r="AT101" s="2"/>
      <c r="AU101" s="2"/>
      <c r="AV101" s="2"/>
      <c r="AW101" s="2"/>
      <c r="AX101" s="2"/>
      <c r="AY101" s="2"/>
      <c r="AZ101" s="2"/>
      <c r="BA101" s="2"/>
      <c r="BB101" s="2"/>
      <c r="BC101" s="2"/>
      <c r="BD101" s="2"/>
      <c r="BE101" s="2"/>
      <c r="BF101" s="2"/>
      <c r="BG101" s="2"/>
      <c r="BH101" s="2"/>
      <c r="BI101" s="2"/>
      <c r="BJ101" s="2"/>
    </row>
    <row r="102" spans="1:62" hidden="1" x14ac:dyDescent="0.2">
      <c r="A102" s="285"/>
      <c r="B102" s="110"/>
      <c r="C102" s="2"/>
      <c r="D102" s="2"/>
      <c r="E102" s="2"/>
      <c r="F102" s="2"/>
      <c r="G102" s="287"/>
      <c r="H102" s="285"/>
      <c r="I102" s="2"/>
      <c r="J102" s="2"/>
      <c r="K102" s="2"/>
      <c r="L102" s="2"/>
      <c r="M102" s="2"/>
      <c r="N102" s="2"/>
      <c r="O102" s="2"/>
      <c r="P102" s="2"/>
      <c r="Q102" s="2"/>
      <c r="R102" s="2"/>
      <c r="S102" s="2"/>
      <c r="T102" s="2"/>
      <c r="U102" s="286"/>
      <c r="V102" s="2"/>
      <c r="W102" s="2"/>
      <c r="X102" s="2"/>
      <c r="Y102" s="2"/>
      <c r="Z102" s="2"/>
      <c r="AA102" s="2"/>
      <c r="AB102" s="2"/>
      <c r="AC102" s="2"/>
      <c r="AD102" s="2"/>
      <c r="AE102" s="2"/>
      <c r="AF102" s="2"/>
      <c r="AG102" s="2"/>
      <c r="AH102" s="2"/>
      <c r="AI102" s="2"/>
      <c r="AJ102" s="2"/>
      <c r="AK102" s="2"/>
      <c r="AL102" s="2"/>
      <c r="AM102" s="2"/>
      <c r="AN102" s="2"/>
      <c r="AO102" s="2"/>
      <c r="AP102" s="2"/>
      <c r="AQ102" s="2"/>
      <c r="AR102" s="2"/>
      <c r="AS102" s="2"/>
      <c r="AT102" s="2"/>
      <c r="AU102" s="2"/>
      <c r="AV102" s="2"/>
      <c r="AW102" s="2"/>
      <c r="AX102" s="2"/>
      <c r="AY102" s="2"/>
      <c r="AZ102" s="2"/>
      <c r="BA102" s="2"/>
      <c r="BB102" s="2"/>
      <c r="BC102" s="2"/>
      <c r="BD102" s="2"/>
      <c r="BE102" s="2"/>
      <c r="BF102" s="2"/>
      <c r="BG102" s="2"/>
      <c r="BH102" s="2"/>
      <c r="BI102" s="2"/>
      <c r="BJ102" s="2"/>
    </row>
    <row r="103" spans="1:62" hidden="1" x14ac:dyDescent="0.2">
      <c r="A103" s="285"/>
      <c r="B103" s="110"/>
      <c r="C103" s="2"/>
      <c r="D103" s="2"/>
      <c r="E103" s="2"/>
      <c r="F103" s="2"/>
      <c r="G103" s="287"/>
      <c r="H103" s="285"/>
      <c r="I103" s="2"/>
      <c r="J103" s="2"/>
      <c r="K103" s="2"/>
      <c r="L103" s="2"/>
      <c r="M103" s="2"/>
      <c r="N103" s="2"/>
      <c r="O103" s="2"/>
      <c r="P103" s="2"/>
      <c r="Q103" s="2"/>
      <c r="R103" s="2"/>
      <c r="S103" s="2"/>
      <c r="T103" s="2"/>
      <c r="U103" s="286"/>
      <c r="V103" s="2"/>
      <c r="W103" s="2"/>
      <c r="X103" s="2"/>
      <c r="Y103" s="2"/>
      <c r="Z103" s="2"/>
      <c r="AA103" s="2"/>
      <c r="AB103" s="2"/>
      <c r="AC103" s="2"/>
      <c r="AD103" s="2"/>
      <c r="AE103" s="2"/>
      <c r="AF103" s="2"/>
      <c r="AG103" s="2"/>
      <c r="AH103" s="2"/>
      <c r="AI103" s="2"/>
      <c r="AJ103" s="2"/>
      <c r="AK103" s="2"/>
      <c r="AL103" s="2"/>
      <c r="AM103" s="2"/>
      <c r="AN103" s="2"/>
      <c r="AO103" s="2"/>
      <c r="AP103" s="2"/>
      <c r="AQ103" s="2"/>
      <c r="AR103" s="2"/>
      <c r="AS103" s="2"/>
      <c r="AT103" s="2"/>
      <c r="AU103" s="2"/>
      <c r="AV103" s="2"/>
      <c r="AW103" s="2"/>
      <c r="AX103" s="2"/>
      <c r="AY103" s="2"/>
      <c r="AZ103" s="2"/>
      <c r="BA103" s="2"/>
      <c r="BB103" s="2"/>
      <c r="BC103" s="2"/>
      <c r="BD103" s="2"/>
      <c r="BE103" s="2"/>
      <c r="BF103" s="2"/>
      <c r="BG103" s="2"/>
      <c r="BH103" s="2"/>
      <c r="BI103" s="2"/>
      <c r="BJ103" s="2"/>
    </row>
    <row r="104" spans="1:62" hidden="1" x14ac:dyDescent="0.2">
      <c r="A104" s="285"/>
      <c r="B104" s="110"/>
      <c r="C104" s="2"/>
      <c r="D104" s="2"/>
      <c r="E104" s="2"/>
      <c r="F104" s="2"/>
      <c r="G104" s="287"/>
      <c r="H104" s="285"/>
      <c r="I104" s="2"/>
      <c r="J104" s="2"/>
      <c r="K104" s="2"/>
      <c r="L104" s="2"/>
      <c r="M104" s="2"/>
      <c r="N104" s="2"/>
      <c r="O104" s="2"/>
      <c r="P104" s="2"/>
      <c r="Q104" s="2"/>
      <c r="R104" s="2"/>
      <c r="S104" s="2"/>
      <c r="T104" s="2"/>
      <c r="U104" s="286"/>
      <c r="V104" s="2"/>
      <c r="W104" s="2"/>
      <c r="X104" s="2"/>
      <c r="Y104" s="2"/>
      <c r="Z104" s="2"/>
      <c r="AA104" s="2"/>
      <c r="AB104" s="2"/>
      <c r="AC104" s="2"/>
      <c r="AD104" s="2"/>
      <c r="AE104" s="2"/>
      <c r="AF104" s="2"/>
      <c r="AG104" s="2"/>
      <c r="AH104" s="2"/>
      <c r="AI104" s="2"/>
      <c r="AJ104" s="2"/>
      <c r="AK104" s="2"/>
      <c r="AL104" s="2"/>
      <c r="AM104" s="2"/>
      <c r="AN104" s="2"/>
      <c r="AO104" s="2"/>
      <c r="AP104" s="2"/>
      <c r="AQ104" s="2"/>
      <c r="AR104" s="2"/>
      <c r="AS104" s="2"/>
      <c r="AT104" s="2"/>
      <c r="AU104" s="2"/>
      <c r="AV104" s="2"/>
      <c r="AW104" s="2"/>
      <c r="AX104" s="2"/>
      <c r="AY104" s="2"/>
      <c r="AZ104" s="2"/>
      <c r="BA104" s="2"/>
      <c r="BB104" s="2"/>
      <c r="BC104" s="2"/>
      <c r="BD104" s="2"/>
      <c r="BE104" s="2"/>
      <c r="BF104" s="2"/>
      <c r="BG104" s="2"/>
      <c r="BH104" s="2"/>
      <c r="BI104" s="2"/>
      <c r="BJ104" s="2"/>
    </row>
    <row r="105" spans="1:62" hidden="1" x14ac:dyDescent="0.2">
      <c r="A105" s="285"/>
      <c r="B105" s="110"/>
      <c r="C105" s="2"/>
      <c r="D105" s="2"/>
      <c r="E105" s="2"/>
      <c r="F105" s="2"/>
      <c r="G105" s="287"/>
      <c r="H105" s="285"/>
      <c r="I105" s="2"/>
      <c r="J105" s="2"/>
      <c r="K105" s="2"/>
      <c r="L105" s="2"/>
      <c r="M105" s="2"/>
      <c r="N105" s="2"/>
      <c r="O105" s="2"/>
      <c r="P105" s="2"/>
      <c r="Q105" s="2"/>
      <c r="R105" s="2"/>
      <c r="S105" s="2"/>
      <c r="T105" s="2"/>
      <c r="U105" s="286"/>
      <c r="V105" s="2"/>
      <c r="W105" s="2"/>
      <c r="X105" s="2"/>
      <c r="Y105" s="2"/>
      <c r="Z105" s="2"/>
      <c r="AA105" s="2"/>
      <c r="AB105" s="2"/>
      <c r="AC105" s="2"/>
      <c r="AD105" s="2"/>
      <c r="AE105" s="2"/>
      <c r="AF105" s="2"/>
      <c r="AG105" s="2"/>
      <c r="AH105" s="2"/>
      <c r="AI105" s="2"/>
      <c r="AJ105" s="2"/>
      <c r="AK105" s="2"/>
      <c r="AL105" s="2"/>
      <c r="AM105" s="2"/>
      <c r="AN105" s="2"/>
      <c r="AO105" s="2"/>
      <c r="AP105" s="2"/>
      <c r="AQ105" s="2"/>
      <c r="AR105" s="2"/>
      <c r="AS105" s="2"/>
      <c r="AT105" s="2"/>
      <c r="AU105" s="2"/>
      <c r="AV105" s="2"/>
      <c r="AW105" s="2"/>
      <c r="AX105" s="2"/>
      <c r="AY105" s="2"/>
      <c r="AZ105" s="2"/>
      <c r="BA105" s="2"/>
      <c r="BB105" s="2"/>
      <c r="BC105" s="2"/>
      <c r="BD105" s="2"/>
      <c r="BE105" s="2"/>
      <c r="BF105" s="2"/>
      <c r="BG105" s="2"/>
      <c r="BH105" s="2"/>
      <c r="BI105" s="2"/>
      <c r="BJ105" s="2"/>
    </row>
    <row r="106" spans="1:62" hidden="1" x14ac:dyDescent="0.2">
      <c r="A106" s="285"/>
      <c r="B106" s="110"/>
      <c r="C106" s="2"/>
      <c r="D106" s="2"/>
      <c r="E106" s="2"/>
      <c r="F106" s="2"/>
      <c r="G106" s="287"/>
      <c r="H106" s="285"/>
      <c r="I106" s="2"/>
      <c r="J106" s="2"/>
      <c r="K106" s="2"/>
      <c r="L106" s="2"/>
      <c r="M106" s="2"/>
      <c r="N106" s="2"/>
      <c r="O106" s="2"/>
      <c r="P106" s="2"/>
      <c r="Q106" s="2"/>
      <c r="R106" s="2"/>
      <c r="S106" s="2"/>
      <c r="T106" s="2"/>
      <c r="U106" s="286"/>
      <c r="V106" s="2"/>
      <c r="W106" s="2"/>
      <c r="X106" s="2"/>
      <c r="Y106" s="2"/>
      <c r="Z106" s="2"/>
      <c r="AA106" s="2"/>
      <c r="AB106" s="2"/>
      <c r="AC106" s="2"/>
      <c r="AD106" s="2"/>
      <c r="AE106" s="2"/>
      <c r="AF106" s="2"/>
      <c r="AG106" s="2"/>
      <c r="AH106" s="2"/>
      <c r="AI106" s="2"/>
      <c r="AJ106" s="2"/>
      <c r="AK106" s="2"/>
      <c r="AL106" s="2"/>
      <c r="AM106" s="2"/>
      <c r="AN106" s="2"/>
      <c r="AO106" s="2"/>
      <c r="AP106" s="2"/>
      <c r="AQ106" s="2"/>
      <c r="AR106" s="2"/>
      <c r="AS106" s="2"/>
      <c r="AT106" s="2"/>
      <c r="AU106" s="2"/>
      <c r="AV106" s="2"/>
      <c r="AW106" s="2"/>
      <c r="AX106" s="2"/>
      <c r="AY106" s="2"/>
      <c r="AZ106" s="2"/>
      <c r="BA106" s="2"/>
      <c r="BB106" s="2"/>
      <c r="BC106" s="2"/>
      <c r="BD106" s="2"/>
      <c r="BE106" s="2"/>
      <c r="BF106" s="2"/>
      <c r="BG106" s="2"/>
      <c r="BH106" s="2"/>
      <c r="BI106" s="2"/>
      <c r="BJ106" s="2"/>
    </row>
    <row r="107" spans="1:62" hidden="1" x14ac:dyDescent="0.2">
      <c r="A107" s="285"/>
      <c r="B107" s="110"/>
      <c r="C107" s="2"/>
      <c r="D107" s="2"/>
      <c r="E107" s="2"/>
      <c r="F107" s="2"/>
      <c r="G107" s="287"/>
      <c r="H107" s="285"/>
      <c r="I107" s="2"/>
      <c r="J107" s="2"/>
      <c r="K107" s="2"/>
      <c r="L107" s="2"/>
      <c r="M107" s="2"/>
      <c r="N107" s="2"/>
      <c r="O107" s="2"/>
      <c r="P107" s="2"/>
      <c r="Q107" s="2"/>
      <c r="R107" s="2"/>
      <c r="S107" s="2"/>
      <c r="T107" s="2"/>
      <c r="U107" s="286"/>
      <c r="V107" s="2"/>
      <c r="W107" s="2"/>
      <c r="X107" s="2"/>
      <c r="Y107" s="2"/>
      <c r="Z107" s="2"/>
      <c r="AA107" s="2"/>
      <c r="AB107" s="2"/>
      <c r="AC107" s="2"/>
      <c r="AD107" s="2"/>
      <c r="AE107" s="2"/>
      <c r="AF107" s="2"/>
      <c r="AG107" s="2"/>
      <c r="AH107" s="2"/>
      <c r="AI107" s="2"/>
      <c r="AJ107" s="2"/>
      <c r="AK107" s="2"/>
      <c r="AL107" s="2"/>
      <c r="AM107" s="2"/>
      <c r="AN107" s="2"/>
      <c r="AO107" s="2"/>
      <c r="AP107" s="2"/>
      <c r="AQ107" s="2"/>
      <c r="AR107" s="2"/>
      <c r="AS107" s="2"/>
      <c r="AT107" s="2"/>
      <c r="AU107" s="2"/>
      <c r="AV107" s="2"/>
      <c r="AW107" s="2"/>
      <c r="AX107" s="2"/>
      <c r="AY107" s="2"/>
      <c r="AZ107" s="2"/>
      <c r="BA107" s="2"/>
      <c r="BB107" s="2"/>
      <c r="BC107" s="2"/>
      <c r="BD107" s="2"/>
      <c r="BE107" s="2"/>
      <c r="BF107" s="2"/>
      <c r="BG107" s="2"/>
      <c r="BH107" s="2"/>
      <c r="BI107" s="2"/>
      <c r="BJ107" s="2"/>
    </row>
    <row r="108" spans="1:62" hidden="1" x14ac:dyDescent="0.2">
      <c r="A108" s="285"/>
      <c r="B108" s="110"/>
      <c r="C108" s="2"/>
      <c r="D108" s="2"/>
      <c r="E108" s="2"/>
      <c r="F108" s="2"/>
      <c r="G108" s="287"/>
      <c r="H108" s="285"/>
      <c r="I108" s="2"/>
      <c r="J108" s="2"/>
      <c r="K108" s="2"/>
      <c r="L108" s="2"/>
      <c r="M108" s="2"/>
      <c r="N108" s="2"/>
      <c r="O108" s="2"/>
      <c r="P108" s="2"/>
      <c r="Q108" s="2"/>
      <c r="R108" s="2"/>
      <c r="S108" s="2"/>
      <c r="T108" s="2"/>
      <c r="U108" s="286"/>
      <c r="V108" s="2"/>
      <c r="W108" s="2"/>
      <c r="X108" s="2"/>
      <c r="Y108" s="2"/>
      <c r="Z108" s="2"/>
      <c r="AA108" s="2"/>
      <c r="AB108" s="2"/>
      <c r="AC108" s="2"/>
      <c r="AD108" s="2"/>
      <c r="AE108" s="2"/>
      <c r="AF108" s="2"/>
      <c r="AG108" s="2"/>
      <c r="AH108" s="2"/>
      <c r="AI108" s="2"/>
      <c r="AJ108" s="2"/>
      <c r="AK108" s="2"/>
      <c r="AL108" s="2"/>
      <c r="AM108" s="2"/>
      <c r="AN108" s="2"/>
      <c r="AO108" s="2"/>
      <c r="AP108" s="2"/>
      <c r="AQ108" s="2"/>
      <c r="AR108" s="2"/>
      <c r="AS108" s="2"/>
      <c r="AT108" s="2"/>
      <c r="AU108" s="2"/>
      <c r="AV108" s="2"/>
      <c r="AW108" s="2"/>
      <c r="AX108" s="2"/>
      <c r="AY108" s="2"/>
      <c r="AZ108" s="2"/>
      <c r="BA108" s="2"/>
      <c r="BB108" s="2"/>
      <c r="BC108" s="2"/>
      <c r="BD108" s="2"/>
      <c r="BE108" s="2"/>
      <c r="BF108" s="2"/>
      <c r="BG108" s="2"/>
      <c r="BH108" s="2"/>
      <c r="BI108" s="2"/>
      <c r="BJ108" s="2"/>
    </row>
    <row r="109" spans="1:62" hidden="1" x14ac:dyDescent="0.2">
      <c r="A109" s="285"/>
      <c r="B109" s="110"/>
      <c r="C109" s="2"/>
      <c r="D109" s="2"/>
      <c r="E109" s="2"/>
      <c r="F109" s="2"/>
      <c r="G109" s="287"/>
      <c r="H109" s="285"/>
      <c r="I109" s="2"/>
      <c r="J109" s="2"/>
      <c r="K109" s="2"/>
      <c r="L109" s="2"/>
      <c r="M109" s="2"/>
      <c r="N109" s="2"/>
      <c r="O109" s="2"/>
      <c r="P109" s="2"/>
      <c r="Q109" s="2"/>
      <c r="R109" s="2"/>
      <c r="S109" s="2"/>
      <c r="T109" s="2"/>
      <c r="U109" s="286"/>
      <c r="V109" s="2"/>
      <c r="W109" s="2"/>
      <c r="X109" s="2"/>
      <c r="Y109" s="2"/>
      <c r="Z109" s="2"/>
      <c r="AA109" s="2"/>
      <c r="AB109" s="2"/>
      <c r="AC109" s="2"/>
      <c r="AD109" s="2"/>
      <c r="AE109" s="2"/>
      <c r="AF109" s="2"/>
      <c r="AG109" s="2"/>
      <c r="AH109" s="2"/>
      <c r="AI109" s="2"/>
      <c r="AJ109" s="2"/>
      <c r="AK109" s="2"/>
      <c r="AL109" s="2"/>
      <c r="AM109" s="2"/>
      <c r="AN109" s="2"/>
      <c r="AO109" s="2"/>
      <c r="AP109" s="2"/>
      <c r="AQ109" s="2"/>
      <c r="AR109" s="2"/>
      <c r="AS109" s="2"/>
      <c r="AT109" s="2"/>
      <c r="AU109" s="2"/>
      <c r="AV109" s="2"/>
      <c r="AW109" s="2"/>
      <c r="AX109" s="2"/>
      <c r="AY109" s="2"/>
      <c r="AZ109" s="2"/>
      <c r="BA109" s="2"/>
      <c r="BB109" s="2"/>
      <c r="BC109" s="2"/>
      <c r="BD109" s="2"/>
      <c r="BE109" s="2"/>
      <c r="BF109" s="2"/>
      <c r="BG109" s="2"/>
      <c r="BH109" s="2"/>
      <c r="BI109" s="2"/>
      <c r="BJ109" s="2"/>
    </row>
    <row r="110" spans="1:62" ht="15" hidden="1" thickBot="1" x14ac:dyDescent="0.25">
      <c r="A110" s="288"/>
      <c r="B110" s="289"/>
      <c r="C110" s="290"/>
      <c r="D110" s="290"/>
      <c r="E110" s="290"/>
      <c r="F110" s="290"/>
      <c r="G110" s="291"/>
      <c r="H110" s="288"/>
      <c r="I110" s="290"/>
      <c r="J110" s="290"/>
      <c r="K110" s="290"/>
      <c r="L110" s="290"/>
      <c r="M110" s="290"/>
      <c r="N110" s="290"/>
      <c r="O110" s="290"/>
      <c r="P110" s="290"/>
      <c r="Q110" s="290"/>
      <c r="R110" s="290"/>
      <c r="S110" s="290"/>
      <c r="T110" s="290"/>
      <c r="U110" s="294"/>
      <c r="V110" s="2"/>
      <c r="W110" s="2"/>
      <c r="X110" s="2"/>
      <c r="Y110" s="2"/>
      <c r="Z110" s="2"/>
      <c r="AA110" s="2"/>
      <c r="AB110" s="2"/>
      <c r="AC110" s="2"/>
      <c r="AD110" s="2"/>
      <c r="AE110" s="2"/>
      <c r="AF110" s="2"/>
      <c r="AG110" s="2"/>
      <c r="AH110" s="2"/>
      <c r="AI110" s="2"/>
      <c r="AJ110" s="2"/>
      <c r="AK110" s="2"/>
      <c r="AL110" s="2"/>
      <c r="AM110" s="2"/>
      <c r="AN110" s="2"/>
      <c r="AO110" s="2"/>
      <c r="AP110" s="2"/>
      <c r="AQ110" s="2"/>
      <c r="AR110" s="2"/>
      <c r="AS110" s="2"/>
      <c r="AT110" s="2"/>
      <c r="AU110" s="2"/>
      <c r="AV110" s="2"/>
      <c r="AW110" s="2"/>
      <c r="AX110" s="2"/>
      <c r="AY110" s="2"/>
      <c r="AZ110" s="2"/>
      <c r="BA110" s="2"/>
      <c r="BB110" s="2"/>
      <c r="BC110" s="2"/>
      <c r="BD110" s="2"/>
      <c r="BE110" s="2"/>
      <c r="BF110" s="2"/>
      <c r="BG110" s="2"/>
      <c r="BH110" s="2"/>
      <c r="BI110" s="2"/>
      <c r="BJ110" s="2"/>
    </row>
    <row r="111" spans="1:62" hidden="1" x14ac:dyDescent="0.2">
      <c r="A111" s="2"/>
      <c r="B111" s="110"/>
      <c r="C111" s="2"/>
      <c r="D111" s="2"/>
      <c r="E111" s="2"/>
      <c r="F111" s="2"/>
      <c r="G111" s="111"/>
      <c r="H111" s="2"/>
      <c r="I111" s="2"/>
      <c r="J111" s="2"/>
      <c r="K111" s="2"/>
      <c r="L111" s="2"/>
      <c r="M111" s="2"/>
      <c r="N111" s="2"/>
      <c r="O111" s="2"/>
      <c r="P111" s="2"/>
      <c r="Q111" s="2"/>
      <c r="R111" s="2"/>
      <c r="S111" s="2"/>
      <c r="T111" s="2"/>
      <c r="U111" s="2"/>
      <c r="V111" s="2"/>
      <c r="W111" s="2"/>
      <c r="X111" s="2"/>
      <c r="Y111" s="2"/>
      <c r="Z111" s="2"/>
      <c r="AA111" s="2"/>
      <c r="AB111" s="2"/>
      <c r="AC111" s="2"/>
      <c r="AD111" s="2"/>
      <c r="AE111" s="2"/>
      <c r="AF111" s="2"/>
      <c r="AG111" s="2"/>
      <c r="AH111" s="2"/>
      <c r="AI111" s="2"/>
      <c r="AJ111" s="2"/>
      <c r="AK111" s="2"/>
      <c r="AL111" s="2"/>
      <c r="AM111" s="2"/>
      <c r="AN111" s="2"/>
      <c r="AO111" s="2"/>
      <c r="AP111" s="2"/>
      <c r="AQ111" s="2"/>
      <c r="AR111" s="2"/>
      <c r="AS111" s="2"/>
      <c r="AT111" s="2"/>
      <c r="AU111" s="2"/>
      <c r="AV111" s="2"/>
      <c r="AW111" s="2"/>
      <c r="AX111" s="2"/>
      <c r="AY111" s="2"/>
      <c r="AZ111" s="2"/>
      <c r="BA111" s="2"/>
      <c r="BB111" s="2"/>
      <c r="BC111" s="2"/>
      <c r="BD111" s="2"/>
      <c r="BE111" s="2"/>
      <c r="BF111" s="2"/>
      <c r="BG111" s="2"/>
      <c r="BH111" s="2"/>
      <c r="BI111" s="2"/>
      <c r="BJ111" s="2"/>
    </row>
    <row r="112" spans="1:62" hidden="1" x14ac:dyDescent="0.2">
      <c r="A112" s="2"/>
      <c r="B112" s="110"/>
      <c r="C112" s="2"/>
      <c r="D112" s="2"/>
      <c r="E112" s="2"/>
      <c r="F112" s="2"/>
      <c r="G112" s="111"/>
      <c r="H112" s="2"/>
      <c r="I112" s="2"/>
      <c r="J112" s="2"/>
      <c r="K112" s="2"/>
      <c r="L112" s="2"/>
      <c r="M112" s="2"/>
      <c r="N112" s="2"/>
      <c r="O112" s="2"/>
      <c r="P112" s="2"/>
      <c r="Q112" s="2"/>
      <c r="R112" s="2"/>
      <c r="S112" s="2"/>
      <c r="T112" s="2"/>
      <c r="U112" s="2"/>
      <c r="V112" s="2"/>
      <c r="W112" s="2"/>
      <c r="X112" s="2"/>
      <c r="Y112" s="2"/>
      <c r="Z112" s="2"/>
      <c r="AA112" s="2"/>
      <c r="AB112" s="2"/>
      <c r="AC112" s="2"/>
      <c r="AD112" s="2"/>
      <c r="AE112" s="2"/>
      <c r="AF112" s="2"/>
      <c r="AG112" s="2"/>
      <c r="AH112" s="2"/>
      <c r="AI112" s="2"/>
      <c r="AJ112" s="2"/>
      <c r="AK112" s="2"/>
      <c r="AL112" s="2"/>
      <c r="AM112" s="2"/>
      <c r="AN112" s="2"/>
      <c r="AO112" s="2"/>
      <c r="AP112" s="2"/>
      <c r="AQ112" s="2"/>
      <c r="AR112" s="2"/>
      <c r="AS112" s="2"/>
      <c r="AT112" s="2"/>
      <c r="AU112" s="2"/>
      <c r="AV112" s="2"/>
      <c r="AW112" s="2"/>
      <c r="AX112" s="2"/>
      <c r="AY112" s="2"/>
      <c r="AZ112" s="2"/>
      <c r="BA112" s="2"/>
      <c r="BB112" s="2"/>
      <c r="BC112" s="2"/>
      <c r="BD112" s="2"/>
      <c r="BE112" s="2"/>
      <c r="BF112" s="2"/>
      <c r="BG112" s="2"/>
      <c r="BH112" s="2"/>
      <c r="BI112" s="2"/>
      <c r="BJ112" s="2"/>
    </row>
    <row r="113" spans="1:24" hidden="1" x14ac:dyDescent="0.2">
      <c r="A113" s="2"/>
      <c r="B113" s="110"/>
      <c r="C113" s="2"/>
      <c r="D113" s="2"/>
      <c r="E113" s="2"/>
      <c r="F113" s="4"/>
      <c r="G113" s="111"/>
      <c r="H113" s="2"/>
      <c r="I113" s="2"/>
      <c r="J113" s="2"/>
      <c r="K113" s="2"/>
      <c r="L113" s="2"/>
      <c r="M113" s="2"/>
      <c r="N113" s="2"/>
      <c r="O113" s="2"/>
      <c r="P113" s="2"/>
      <c r="Q113" s="2"/>
      <c r="R113" s="2"/>
      <c r="S113" s="2"/>
      <c r="T113" s="2"/>
      <c r="U113" s="2"/>
      <c r="V113" s="2"/>
      <c r="W113" s="2"/>
      <c r="X113" s="2"/>
    </row>
    <row r="114" spans="1:24" hidden="1" x14ac:dyDescent="0.2">
      <c r="A114" s="2" t="s">
        <v>282</v>
      </c>
      <c r="B114" s="110"/>
      <c r="C114" s="2"/>
      <c r="D114" s="2"/>
      <c r="E114" s="2"/>
      <c r="F114" s="4"/>
      <c r="G114" s="111"/>
      <c r="H114" s="2"/>
      <c r="I114" s="2"/>
      <c r="J114" s="2"/>
      <c r="K114" s="2"/>
      <c r="L114" s="2"/>
      <c r="M114" s="2"/>
      <c r="N114" s="2"/>
      <c r="O114" s="2"/>
      <c r="P114" s="2"/>
      <c r="Q114" s="2"/>
      <c r="R114" s="2"/>
      <c r="S114" s="2"/>
      <c r="T114" s="2"/>
      <c r="U114" s="2"/>
      <c r="V114" s="2"/>
      <c r="W114" s="2"/>
      <c r="X114" s="2"/>
    </row>
    <row r="115" spans="1:24" hidden="1" x14ac:dyDescent="0.2">
      <c r="A115" s="2"/>
      <c r="B115" s="110"/>
      <c r="C115" s="2"/>
      <c r="D115" s="2"/>
      <c r="E115" s="2"/>
      <c r="F115" s="2"/>
      <c r="G115" s="111"/>
      <c r="H115" s="2"/>
      <c r="I115" s="2"/>
      <c r="J115" s="2"/>
      <c r="K115" s="2"/>
      <c r="L115" s="2"/>
      <c r="M115" s="2"/>
      <c r="N115" s="2"/>
      <c r="O115" s="2"/>
      <c r="P115" s="2"/>
      <c r="Q115" s="2"/>
      <c r="R115" s="2"/>
      <c r="S115" s="2"/>
      <c r="T115" s="2"/>
      <c r="U115" s="2"/>
      <c r="V115" s="2"/>
      <c r="W115" s="2"/>
      <c r="X115" s="2"/>
    </row>
    <row r="116" spans="1:24" hidden="1" x14ac:dyDescent="0.2">
      <c r="A116" s="2"/>
      <c r="B116" s="110"/>
      <c r="C116" s="2"/>
      <c r="D116" s="2"/>
      <c r="E116" s="2"/>
      <c r="F116" s="2"/>
      <c r="G116" s="2"/>
      <c r="H116" s="2"/>
      <c r="I116" s="2"/>
      <c r="J116" s="2"/>
      <c r="K116" s="2"/>
      <c r="L116" s="2"/>
      <c r="M116" s="2"/>
      <c r="N116" s="2"/>
      <c r="O116" s="2"/>
      <c r="P116" s="2"/>
      <c r="Q116" s="2"/>
      <c r="R116" s="2"/>
      <c r="S116" s="2"/>
      <c r="T116" s="2"/>
      <c r="U116" s="2"/>
      <c r="V116" s="2"/>
      <c r="W116" s="2"/>
      <c r="X116" s="2"/>
    </row>
    <row r="117" spans="1:24" hidden="1" x14ac:dyDescent="0.2">
      <c r="A117" s="2"/>
      <c r="B117" s="110"/>
      <c r="C117" s="2"/>
      <c r="D117" s="2"/>
      <c r="E117" s="2"/>
      <c r="F117" s="2"/>
      <c r="G117" s="2"/>
      <c r="H117" s="2"/>
      <c r="I117" s="300"/>
      <c r="J117" s="300"/>
      <c r="K117" s="300"/>
      <c r="L117" s="300"/>
      <c r="M117" s="300"/>
      <c r="N117" s="300"/>
      <c r="O117" s="300"/>
      <c r="P117" s="300"/>
      <c r="Q117" s="300"/>
      <c r="R117" s="300"/>
      <c r="S117" s="300"/>
      <c r="T117" s="300"/>
      <c r="U117" s="300"/>
      <c r="V117" s="300"/>
      <c r="W117" s="300"/>
      <c r="X117" s="300"/>
    </row>
    <row r="118" spans="1:24" hidden="1" x14ac:dyDescent="0.2">
      <c r="A118" s="2"/>
      <c r="B118" s="110"/>
      <c r="C118" s="2"/>
      <c r="D118" s="2"/>
      <c r="E118" s="2"/>
      <c r="F118" s="2"/>
      <c r="G118" s="2"/>
      <c r="H118" s="2"/>
      <c r="I118" s="2"/>
      <c r="J118" s="2"/>
      <c r="K118" s="2"/>
      <c r="L118" s="2"/>
      <c r="M118" s="2"/>
      <c r="N118" s="2"/>
      <c r="O118" s="2"/>
      <c r="P118" s="2"/>
      <c r="Q118" s="2"/>
      <c r="R118" s="2"/>
      <c r="S118" s="2"/>
      <c r="T118" s="2"/>
      <c r="U118" s="2"/>
      <c r="V118" s="2"/>
      <c r="W118" s="2"/>
      <c r="X118" s="2"/>
    </row>
    <row r="119" spans="1:24" hidden="1" x14ac:dyDescent="0.2">
      <c r="A119" s="2"/>
      <c r="B119" s="110"/>
      <c r="C119" s="2"/>
      <c r="D119" s="2"/>
      <c r="E119" s="2"/>
      <c r="F119" s="2"/>
      <c r="G119" s="2"/>
      <c r="H119" s="2"/>
      <c r="I119" s="2"/>
      <c r="J119" s="2"/>
      <c r="K119" s="2"/>
      <c r="L119" s="2"/>
      <c r="M119" s="2"/>
      <c r="N119" s="2"/>
      <c r="O119" s="2"/>
      <c r="P119" s="2"/>
      <c r="Q119" s="2"/>
      <c r="R119" s="2"/>
      <c r="S119" s="2"/>
      <c r="T119" s="2"/>
      <c r="U119" s="2"/>
      <c r="V119" s="2"/>
      <c r="W119" s="2"/>
      <c r="X119" s="2"/>
    </row>
    <row r="120" spans="1:24" hidden="1" x14ac:dyDescent="0.2">
      <c r="A120" s="2"/>
      <c r="B120" s="110"/>
      <c r="C120" s="2"/>
      <c r="D120" s="2"/>
      <c r="E120" s="2"/>
      <c r="F120" s="2"/>
      <c r="G120" s="2"/>
      <c r="H120" s="2"/>
      <c r="I120" s="2"/>
      <c r="J120" s="2"/>
      <c r="K120" s="2"/>
      <c r="L120" s="2"/>
      <c r="M120" s="2"/>
      <c r="N120" s="2"/>
      <c r="O120" s="2"/>
      <c r="P120" s="2"/>
      <c r="Q120" s="2"/>
      <c r="R120" s="2"/>
      <c r="S120" s="2"/>
      <c r="T120" s="2"/>
      <c r="U120" s="2"/>
      <c r="V120" s="2"/>
      <c r="W120" s="2"/>
      <c r="X120" s="2"/>
    </row>
    <row r="121" spans="1:24" hidden="1" x14ac:dyDescent="0.2">
      <c r="A121" s="2"/>
      <c r="B121" s="110"/>
      <c r="C121" s="2"/>
      <c r="D121" s="2"/>
      <c r="E121" s="2"/>
      <c r="F121" s="2"/>
      <c r="G121" s="2"/>
      <c r="H121" s="2"/>
      <c r="I121" s="2"/>
      <c r="J121" s="2"/>
      <c r="K121" s="2"/>
      <c r="L121" s="2"/>
      <c r="M121" s="2"/>
      <c r="N121" s="2"/>
      <c r="O121" s="2"/>
      <c r="P121" s="2"/>
      <c r="Q121" s="2"/>
      <c r="R121" s="2"/>
      <c r="S121" s="2"/>
      <c r="T121" s="2"/>
      <c r="U121" s="2"/>
      <c r="V121" s="2"/>
      <c r="W121" s="2"/>
      <c r="X121" s="2"/>
    </row>
    <row r="122" spans="1:24" hidden="1" x14ac:dyDescent="0.2">
      <c r="A122" s="2"/>
      <c r="B122" s="110"/>
      <c r="C122" s="2"/>
      <c r="D122" s="2"/>
      <c r="E122" s="2"/>
      <c r="F122" s="2"/>
      <c r="G122" s="2"/>
      <c r="H122" s="2"/>
      <c r="I122" s="2"/>
      <c r="J122" s="2"/>
      <c r="K122" s="2"/>
      <c r="L122" s="2"/>
      <c r="M122" s="2"/>
      <c r="N122" s="2"/>
      <c r="O122" s="2"/>
      <c r="P122" s="2"/>
      <c r="Q122" s="2"/>
      <c r="R122" s="2"/>
      <c r="S122" s="2"/>
      <c r="T122" s="2"/>
      <c r="U122" s="2"/>
      <c r="V122" s="2"/>
      <c r="W122" s="2"/>
      <c r="X122" s="2"/>
    </row>
    <row r="123" spans="1:24" hidden="1" x14ac:dyDescent="0.2"/>
    <row r="124" spans="1:24" hidden="1" x14ac:dyDescent="0.2"/>
    <row r="125" spans="1:24" hidden="1" x14ac:dyDescent="0.2"/>
    <row r="126" spans="1:24" hidden="1" x14ac:dyDescent="0.2"/>
    <row r="127" spans="1:24" hidden="1" x14ac:dyDescent="0.2"/>
    <row r="128" spans="1:24" hidden="1" x14ac:dyDescent="0.2"/>
    <row r="129" hidden="1" x14ac:dyDescent="0.2"/>
    <row r="130" hidden="1" x14ac:dyDescent="0.2"/>
    <row r="131" hidden="1" x14ac:dyDescent="0.2"/>
    <row r="132" hidden="1" x14ac:dyDescent="0.2"/>
    <row r="133" hidden="1" x14ac:dyDescent="0.2"/>
    <row r="134" hidden="1" x14ac:dyDescent="0.2"/>
    <row r="135" hidden="1" x14ac:dyDescent="0.2"/>
    <row r="136" hidden="1" x14ac:dyDescent="0.2"/>
    <row r="137" hidden="1" x14ac:dyDescent="0.2"/>
    <row r="138" hidden="1" x14ac:dyDescent="0.2"/>
    <row r="139" hidden="1" x14ac:dyDescent="0.2"/>
    <row r="140" hidden="1" x14ac:dyDescent="0.2"/>
    <row r="141" hidden="1" x14ac:dyDescent="0.2"/>
    <row r="142" hidden="1" x14ac:dyDescent="0.2"/>
  </sheetData>
  <mergeCells count="50">
    <mergeCell ref="B23:B32"/>
    <mergeCell ref="C23:C32"/>
    <mergeCell ref="A52:Z52"/>
    <mergeCell ref="A47:Z47"/>
    <mergeCell ref="A23:A32"/>
    <mergeCell ref="E23:E27"/>
    <mergeCell ref="E28:E32"/>
    <mergeCell ref="I40:X40"/>
    <mergeCell ref="E34:J34"/>
    <mergeCell ref="I35:X35"/>
    <mergeCell ref="E36:E40"/>
    <mergeCell ref="I37:X37"/>
    <mergeCell ref="I38:X38"/>
    <mergeCell ref="I39:X39"/>
    <mergeCell ref="I36:X36"/>
    <mergeCell ref="H31:H32"/>
    <mergeCell ref="B8:B12"/>
    <mergeCell ref="E8:E12"/>
    <mergeCell ref="E13:E17"/>
    <mergeCell ref="D8:D12"/>
    <mergeCell ref="D13:D14"/>
    <mergeCell ref="B13:B22"/>
    <mergeCell ref="C13:C22"/>
    <mergeCell ref="A1:X1"/>
    <mergeCell ref="D18:D19"/>
    <mergeCell ref="E18:E22"/>
    <mergeCell ref="A13:A22"/>
    <mergeCell ref="E3:E7"/>
    <mergeCell ref="B3:B7"/>
    <mergeCell ref="A3:A7"/>
    <mergeCell ref="D3:D7"/>
    <mergeCell ref="C3:C7"/>
    <mergeCell ref="C8:C12"/>
    <mergeCell ref="H8:H9"/>
    <mergeCell ref="D15:D17"/>
    <mergeCell ref="H13:H14"/>
    <mergeCell ref="H18:H19"/>
    <mergeCell ref="D20:D22"/>
    <mergeCell ref="A8:A12"/>
    <mergeCell ref="AR38:AU38"/>
    <mergeCell ref="AV38:AY38"/>
    <mergeCell ref="AH38:AL38"/>
    <mergeCell ref="AM38:AQ38"/>
    <mergeCell ref="D30:D32"/>
    <mergeCell ref="AB34:AE34"/>
    <mergeCell ref="H28:H29"/>
    <mergeCell ref="H23:H24"/>
    <mergeCell ref="D28:D29"/>
    <mergeCell ref="D23:D24"/>
    <mergeCell ref="D25:D27"/>
  </mergeCells>
  <phoneticPr fontId="7" type="noConversion"/>
  <hyperlinks>
    <hyperlink ref="H36" r:id="rId1" xr:uid="{9153F47E-FCBB-42B5-A7E2-9AE58445F5C5}"/>
    <hyperlink ref="H37:H38" r:id="rId2" display="2022 CASE report (Table 38)" xr:uid="{AB6FEC5D-A312-48E5-9443-3858096808B6}"/>
    <hyperlink ref="E42" r:id="rId3" xr:uid="{25C90A1D-2413-41E3-8163-A6D94106D91D}"/>
    <hyperlink ref="AF37" r:id="rId4" xr:uid="{62859150-A409-48D0-A869-2F6C68EFC4BB}"/>
  </hyperlinks>
  <pageMargins left="0.7" right="0.7" top="0.75" bottom="0.75" header="0.3" footer="0.3"/>
  <drawing r:id="rId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C1672-9EE3-40E4-AB75-7F6046861D1F}">
  <sheetPr codeName="Sheet6"/>
  <dimension ref="A1:AM85"/>
  <sheetViews>
    <sheetView zoomScale="85" zoomScaleNormal="85" workbookViewId="0">
      <selection sqref="A1:G1"/>
    </sheetView>
  </sheetViews>
  <sheetFormatPr defaultColWidth="8.7109375" defaultRowHeight="12.75" x14ac:dyDescent="0.2"/>
  <cols>
    <col min="1" max="1" width="26" style="4" customWidth="1"/>
    <col min="2" max="2" width="26.85546875" style="4" customWidth="1"/>
    <col min="3" max="3" width="30.42578125" style="4" customWidth="1"/>
    <col min="4" max="4" width="31.42578125" style="4" customWidth="1"/>
    <col min="5" max="5" width="33.28515625" style="4" customWidth="1"/>
    <col min="6" max="6" width="33.42578125" style="4" customWidth="1"/>
    <col min="7" max="7" width="39.85546875" style="4" customWidth="1"/>
    <col min="8" max="8" width="32.7109375" style="4" customWidth="1"/>
    <col min="9" max="12" width="12.7109375" style="4" customWidth="1"/>
    <col min="13" max="20" width="15.28515625" style="4" customWidth="1"/>
    <col min="21" max="21" width="14.7109375" style="4" customWidth="1"/>
    <col min="22" max="22" width="13.5703125" style="4" customWidth="1"/>
    <col min="23" max="23" width="15.7109375" style="4" customWidth="1"/>
    <col min="24" max="30" width="11" style="4" customWidth="1"/>
    <col min="31" max="39" width="6.5703125" style="4" customWidth="1"/>
    <col min="40" max="40" width="8.7109375" style="4" customWidth="1"/>
    <col min="41" max="16384" width="8.7109375" style="4"/>
  </cols>
  <sheetData>
    <row r="1" spans="1:11" ht="27" customHeight="1" x14ac:dyDescent="0.2">
      <c r="A1" s="593" t="str">
        <f>"HVAC system - "&amp;Prototype!A2</f>
        <v>HVAC system - Warehouse</v>
      </c>
      <c r="B1" s="593"/>
      <c r="C1" s="593"/>
      <c r="D1" s="593"/>
      <c r="E1" s="593"/>
      <c r="F1" s="593"/>
      <c r="G1" s="593"/>
    </row>
    <row r="2" spans="1:11" ht="22.15" customHeight="1" x14ac:dyDescent="0.2">
      <c r="A2" s="511" t="s">
        <v>181</v>
      </c>
      <c r="B2" s="511" t="s">
        <v>153</v>
      </c>
      <c r="C2" s="511" t="s">
        <v>283</v>
      </c>
      <c r="D2" s="511" t="s">
        <v>284</v>
      </c>
      <c r="E2" s="511" t="s">
        <v>285</v>
      </c>
      <c r="F2" s="511" t="s">
        <v>286</v>
      </c>
      <c r="G2" s="511" t="s">
        <v>238</v>
      </c>
    </row>
    <row r="3" spans="1:11" ht="22.15" customHeight="1" x14ac:dyDescent="0.2">
      <c r="A3" s="619" t="s">
        <v>287</v>
      </c>
      <c r="B3" s="16" t="s">
        <v>164</v>
      </c>
      <c r="C3" s="16" t="s">
        <v>288</v>
      </c>
      <c r="D3" s="41" t="s">
        <v>289</v>
      </c>
      <c r="E3" s="484" t="s">
        <v>290</v>
      </c>
      <c r="F3" s="95" t="s">
        <v>291</v>
      </c>
      <c r="G3" s="594" t="s">
        <v>292</v>
      </c>
      <c r="H3" s="98"/>
      <c r="I3" s="485"/>
      <c r="J3" s="485"/>
      <c r="K3" s="485"/>
    </row>
    <row r="4" spans="1:11" ht="22.15" customHeight="1" x14ac:dyDescent="0.2">
      <c r="A4" s="620"/>
      <c r="B4" s="16" t="s">
        <v>293</v>
      </c>
      <c r="C4" s="16" t="s">
        <v>288</v>
      </c>
      <c r="D4" s="41" t="s">
        <v>289</v>
      </c>
      <c r="E4" s="484" t="s">
        <v>290</v>
      </c>
      <c r="F4" s="96"/>
      <c r="G4" s="595"/>
      <c r="H4" s="485"/>
      <c r="I4" s="485"/>
      <c r="J4" s="485"/>
      <c r="K4" s="485"/>
    </row>
    <row r="5" spans="1:11" ht="27" customHeight="1" x14ac:dyDescent="0.2">
      <c r="A5" s="621"/>
      <c r="B5" s="16" t="s">
        <v>294</v>
      </c>
      <c r="C5" s="16" t="s">
        <v>295</v>
      </c>
      <c r="D5" s="41" t="s">
        <v>296</v>
      </c>
      <c r="E5" s="484" t="s">
        <v>290</v>
      </c>
      <c r="F5" s="95" t="s">
        <v>297</v>
      </c>
      <c r="G5" s="596"/>
      <c r="H5" s="485"/>
      <c r="I5" s="485"/>
      <c r="J5" s="485"/>
      <c r="K5" s="485"/>
    </row>
    <row r="6" spans="1:11" ht="22.15" customHeight="1" x14ac:dyDescent="0.2">
      <c r="A6" s="619" t="s">
        <v>298</v>
      </c>
      <c r="B6" s="16" t="s">
        <v>164</v>
      </c>
      <c r="C6" s="16" t="s">
        <v>299</v>
      </c>
      <c r="D6" s="41" t="s">
        <v>289</v>
      </c>
      <c r="E6" s="484" t="s">
        <v>290</v>
      </c>
      <c r="F6" s="95" t="s">
        <v>300</v>
      </c>
      <c r="G6" s="594" t="s">
        <v>254</v>
      </c>
      <c r="H6" s="485"/>
      <c r="I6" s="485"/>
      <c r="J6" s="485"/>
      <c r="K6" s="485"/>
    </row>
    <row r="7" spans="1:11" ht="22.15" customHeight="1" x14ac:dyDescent="0.2">
      <c r="A7" s="620"/>
      <c r="B7" s="16" t="s">
        <v>293</v>
      </c>
      <c r="C7" s="16" t="s">
        <v>299</v>
      </c>
      <c r="D7" s="41" t="s">
        <v>289</v>
      </c>
      <c r="E7" s="484" t="s">
        <v>290</v>
      </c>
      <c r="F7" s="97"/>
      <c r="G7" s="595"/>
      <c r="H7" s="485"/>
      <c r="I7" s="485"/>
      <c r="J7" s="485"/>
      <c r="K7" s="485"/>
    </row>
    <row r="8" spans="1:11" ht="29.45" customHeight="1" x14ac:dyDescent="0.2">
      <c r="A8" s="621"/>
      <c r="B8" s="16" t="s">
        <v>294</v>
      </c>
      <c r="C8" s="370" t="s">
        <v>301</v>
      </c>
      <c r="D8" s="41" t="s">
        <v>296</v>
      </c>
      <c r="E8" s="484" t="s">
        <v>290</v>
      </c>
      <c r="F8" s="95" t="s">
        <v>297</v>
      </c>
      <c r="G8" s="596"/>
      <c r="H8" s="485"/>
      <c r="I8" s="485"/>
      <c r="J8" s="485"/>
      <c r="K8" s="485"/>
    </row>
    <row r="9" spans="1:11" ht="15.6" customHeight="1" x14ac:dyDescent="0.2">
      <c r="A9" s="507"/>
      <c r="B9" s="507"/>
      <c r="C9" s="507"/>
      <c r="D9" s="507"/>
      <c r="E9" s="507"/>
      <c r="F9" s="507"/>
    </row>
    <row r="10" spans="1:11" x14ac:dyDescent="0.2">
      <c r="A10" s="485"/>
      <c r="B10" s="485"/>
      <c r="C10" s="507"/>
      <c r="D10" s="507"/>
      <c r="E10" s="507"/>
      <c r="F10" s="507"/>
    </row>
    <row r="11" spans="1:11" x14ac:dyDescent="0.2">
      <c r="A11" s="507"/>
      <c r="B11" s="507"/>
      <c r="C11" s="507"/>
      <c r="D11" s="507"/>
      <c r="E11" s="507"/>
      <c r="F11" s="507"/>
    </row>
    <row r="12" spans="1:11" ht="51.6" customHeight="1" x14ac:dyDescent="0.2">
      <c r="A12" s="593" t="s">
        <v>302</v>
      </c>
      <c r="B12" s="593"/>
      <c r="C12" s="593"/>
      <c r="D12" s="593"/>
      <c r="E12" s="593"/>
      <c r="F12" s="593"/>
      <c r="G12" s="593"/>
    </row>
    <row r="13" spans="1:11" ht="28.15" customHeight="1" x14ac:dyDescent="0.2">
      <c r="A13" s="42" t="s">
        <v>181</v>
      </c>
      <c r="B13" s="73" t="s">
        <v>303</v>
      </c>
      <c r="C13" s="35" t="s">
        <v>304</v>
      </c>
      <c r="D13" s="35" t="s">
        <v>305</v>
      </c>
      <c r="E13" s="35" t="s">
        <v>299</v>
      </c>
      <c r="F13" s="35" t="s">
        <v>306</v>
      </c>
      <c r="G13" s="511" t="s">
        <v>238</v>
      </c>
    </row>
    <row r="14" spans="1:11" ht="22.9" customHeight="1" x14ac:dyDescent="0.2">
      <c r="A14" s="494" t="s">
        <v>204</v>
      </c>
      <c r="B14" s="573">
        <v>2008</v>
      </c>
      <c r="C14" s="622" t="s">
        <v>307</v>
      </c>
      <c r="D14" s="613" t="s">
        <v>308</v>
      </c>
      <c r="E14" s="204"/>
      <c r="F14" s="613" t="s">
        <v>309</v>
      </c>
      <c r="G14" s="616" t="s">
        <v>310</v>
      </c>
    </row>
    <row r="15" spans="1:11" ht="22.9" customHeight="1" x14ac:dyDescent="0.2">
      <c r="A15" s="494" t="s">
        <v>207</v>
      </c>
      <c r="B15" s="575"/>
      <c r="C15" s="623"/>
      <c r="D15" s="614"/>
      <c r="E15" s="205"/>
      <c r="F15" s="614"/>
      <c r="G15" s="617"/>
    </row>
    <row r="16" spans="1:11" ht="22.9" customHeight="1" x14ac:dyDescent="0.2">
      <c r="A16" s="494" t="s">
        <v>209</v>
      </c>
      <c r="B16" s="574"/>
      <c r="C16" s="624"/>
      <c r="D16" s="615"/>
      <c r="E16" s="206"/>
      <c r="F16" s="615"/>
      <c r="G16" s="618"/>
    </row>
    <row r="17" spans="1:9" ht="76.5" customHeight="1" x14ac:dyDescent="0.2">
      <c r="A17" s="494" t="s">
        <v>211</v>
      </c>
      <c r="B17" s="494">
        <v>2013</v>
      </c>
      <c r="C17" s="203" t="s">
        <v>307</v>
      </c>
      <c r="D17" s="203" t="s">
        <v>311</v>
      </c>
      <c r="E17" s="207"/>
      <c r="F17" s="203" t="s">
        <v>309</v>
      </c>
      <c r="G17" s="497" t="s">
        <v>312</v>
      </c>
    </row>
    <row r="18" spans="1:9" ht="87" customHeight="1" x14ac:dyDescent="0.2">
      <c r="A18" s="493" t="s">
        <v>298</v>
      </c>
      <c r="B18" s="494">
        <v>2025</v>
      </c>
      <c r="C18" s="203"/>
      <c r="D18" s="203"/>
      <c r="E18" s="203" t="s">
        <v>313</v>
      </c>
      <c r="F18" s="203" t="s">
        <v>309</v>
      </c>
      <c r="G18" s="494" t="s">
        <v>314</v>
      </c>
      <c r="I18" s="421"/>
    </row>
    <row r="19" spans="1:9" x14ac:dyDescent="0.2">
      <c r="C19" s="6"/>
      <c r="D19" s="4" t="s">
        <v>315</v>
      </c>
    </row>
    <row r="20" spans="1:9" x14ac:dyDescent="0.2">
      <c r="C20" s="6"/>
      <c r="D20" s="4" t="s">
        <v>316</v>
      </c>
      <c r="E20" s="421">
        <f>11/3.412</f>
        <v>3.2239155920281362</v>
      </c>
      <c r="F20" s="6"/>
    </row>
    <row r="21" spans="1:9" x14ac:dyDescent="0.2">
      <c r="C21" s="6"/>
      <c r="D21" s="6"/>
      <c r="E21" s="43"/>
      <c r="F21" s="6"/>
    </row>
    <row r="22" spans="1:9" ht="27" customHeight="1" x14ac:dyDescent="0.2">
      <c r="A22" s="631" t="s">
        <v>317</v>
      </c>
      <c r="B22" s="631"/>
      <c r="C22" s="631"/>
      <c r="D22" s="631"/>
      <c r="E22" s="631"/>
      <c r="F22" s="631"/>
      <c r="G22" s="631"/>
      <c r="H22" s="631"/>
    </row>
    <row r="23" spans="1:9" ht="57.75" customHeight="1" x14ac:dyDescent="0.2">
      <c r="A23" s="510" t="s">
        <v>181</v>
      </c>
      <c r="B23" s="510" t="s">
        <v>318</v>
      </c>
      <c r="C23" s="510" t="s">
        <v>319</v>
      </c>
      <c r="D23" s="341" t="s">
        <v>320</v>
      </c>
      <c r="E23" s="341" t="s">
        <v>321</v>
      </c>
      <c r="F23" s="355" t="s">
        <v>322</v>
      </c>
      <c r="G23" s="355" t="s">
        <v>323</v>
      </c>
      <c r="H23" s="342" t="s">
        <v>324</v>
      </c>
    </row>
    <row r="24" spans="1:9" ht="29.45" customHeight="1" x14ac:dyDescent="0.2">
      <c r="A24" s="629" t="s">
        <v>325</v>
      </c>
      <c r="B24" s="625" t="s">
        <v>326</v>
      </c>
      <c r="C24" s="495" t="s">
        <v>327</v>
      </c>
      <c r="D24" s="224" t="s">
        <v>328</v>
      </c>
      <c r="E24" s="224">
        <v>0.65</v>
      </c>
      <c r="F24" s="625" t="s">
        <v>329</v>
      </c>
      <c r="G24" s="627"/>
      <c r="H24" s="625" t="s">
        <v>330</v>
      </c>
    </row>
    <row r="25" spans="1:9" ht="34.9" customHeight="1" x14ac:dyDescent="0.2">
      <c r="A25" s="630"/>
      <c r="B25" s="626"/>
      <c r="C25" s="495" t="s">
        <v>331</v>
      </c>
      <c r="D25" s="224" t="s">
        <v>332</v>
      </c>
      <c r="E25" s="224">
        <v>0.65</v>
      </c>
      <c r="F25" s="626"/>
      <c r="G25" s="628"/>
      <c r="H25" s="626"/>
    </row>
    <row r="26" spans="1:9" ht="25.15" customHeight="1" x14ac:dyDescent="0.2">
      <c r="A26" s="630"/>
      <c r="B26" s="626"/>
      <c r="C26" s="500" t="s">
        <v>333</v>
      </c>
      <c r="D26" s="499">
        <v>0.2</v>
      </c>
      <c r="E26" s="499">
        <v>0.65</v>
      </c>
      <c r="F26" s="626"/>
      <c r="G26" s="628"/>
      <c r="H26" s="626"/>
    </row>
    <row r="27" spans="1:9" x14ac:dyDescent="0.2">
      <c r="A27" s="356" t="s">
        <v>334</v>
      </c>
      <c r="B27" s="357"/>
      <c r="C27" s="358"/>
      <c r="D27" s="358"/>
      <c r="E27" s="359"/>
      <c r="F27" s="358"/>
      <c r="G27" s="358"/>
      <c r="H27" s="360"/>
    </row>
    <row r="28" spans="1:9" ht="12.6" customHeight="1" x14ac:dyDescent="0.2">
      <c r="A28" s="361" t="s">
        <v>335</v>
      </c>
      <c r="B28" s="107"/>
      <c r="C28" s="107"/>
      <c r="D28" s="302"/>
      <c r="E28" s="107"/>
      <c r="F28" s="303"/>
      <c r="G28" s="303"/>
      <c r="H28" s="362"/>
    </row>
    <row r="29" spans="1:9" ht="25.15" customHeight="1" x14ac:dyDescent="0.2">
      <c r="A29" s="637" t="s">
        <v>298</v>
      </c>
      <c r="B29" s="635" t="s">
        <v>336</v>
      </c>
      <c r="C29" s="363" t="s">
        <v>337</v>
      </c>
      <c r="D29" s="367">
        <f>0.744*$F$29*$E$29/746*6356</f>
        <v>3.7082914745308311</v>
      </c>
      <c r="E29" s="594">
        <v>0.65</v>
      </c>
      <c r="F29" s="594">
        <v>0.9</v>
      </c>
      <c r="G29" s="364" t="s">
        <v>338</v>
      </c>
      <c r="H29" s="632" t="s">
        <v>339</v>
      </c>
    </row>
    <row r="30" spans="1:9" ht="33" customHeight="1" x14ac:dyDescent="0.2">
      <c r="A30" s="638"/>
      <c r="B30" s="626"/>
      <c r="C30" s="495" t="s">
        <v>340</v>
      </c>
      <c r="D30" s="367">
        <f>0.744*$F$29*$E$29/746*6356</f>
        <v>3.7082914745308311</v>
      </c>
      <c r="E30" s="595"/>
      <c r="F30" s="595"/>
      <c r="G30" s="343" t="s">
        <v>341</v>
      </c>
      <c r="H30" s="633"/>
    </row>
    <row r="31" spans="1:9" ht="25.15" customHeight="1" x14ac:dyDescent="0.2">
      <c r="A31" s="639"/>
      <c r="B31" s="636"/>
      <c r="C31" s="365" t="s">
        <v>333</v>
      </c>
      <c r="D31" s="367">
        <f>0.605*$F$29*$E$29/746*6356</f>
        <v>3.0154789544235925</v>
      </c>
      <c r="E31" s="596"/>
      <c r="F31" s="596"/>
      <c r="G31" s="366" t="s">
        <v>342</v>
      </c>
      <c r="H31" s="634"/>
    </row>
    <row r="32" spans="1:9" ht="17.45" customHeight="1" x14ac:dyDescent="0.2">
      <c r="A32" s="485"/>
      <c r="B32" s="7"/>
      <c r="C32" s="7"/>
      <c r="D32" s="7"/>
      <c r="E32" s="301"/>
      <c r="F32" s="6" t="s">
        <v>343</v>
      </c>
    </row>
    <row r="33" spans="1:39" x14ac:dyDescent="0.2">
      <c r="A33" s="4" t="s">
        <v>344</v>
      </c>
    </row>
    <row r="34" spans="1:39" x14ac:dyDescent="0.2">
      <c r="A34" s="6" t="s">
        <v>345</v>
      </c>
    </row>
    <row r="35" spans="1:39" ht="13.9" customHeight="1" x14ac:dyDescent="0.2">
      <c r="A35" s="6" t="s">
        <v>346</v>
      </c>
      <c r="B35" s="8"/>
      <c r="E35" s="38"/>
    </row>
    <row r="36" spans="1:39" ht="13.9" customHeight="1" x14ac:dyDescent="0.2">
      <c r="A36" s="8"/>
      <c r="B36" s="8"/>
      <c r="E36" s="38"/>
    </row>
    <row r="37" spans="1:39" ht="13.9" customHeight="1" x14ac:dyDescent="0.2">
      <c r="E37" s="38"/>
    </row>
    <row r="38" spans="1:39" s="28" customFormat="1" ht="13.15" hidden="1" customHeight="1" x14ac:dyDescent="0.2">
      <c r="A38" s="28" t="s">
        <v>75</v>
      </c>
    </row>
    <row r="39" spans="1:39" ht="13.15" hidden="1" customHeight="1" x14ac:dyDescent="0.2">
      <c r="V39" s="37"/>
      <c r="W39" s="57"/>
      <c r="X39" s="58"/>
      <c r="Y39" s="58"/>
      <c r="Z39" s="58"/>
      <c r="AA39" s="58"/>
      <c r="AB39" s="58"/>
      <c r="AC39" s="58"/>
      <c r="AD39" s="58"/>
      <c r="AE39" s="58"/>
      <c r="AF39" s="58"/>
      <c r="AG39" s="58"/>
      <c r="AH39" s="58"/>
      <c r="AI39" s="58"/>
      <c r="AJ39" s="58"/>
      <c r="AK39" s="58"/>
      <c r="AL39" s="58"/>
      <c r="AM39" s="58"/>
    </row>
    <row r="40" spans="1:39" ht="15.75" hidden="1" x14ac:dyDescent="0.2">
      <c r="A40" s="202" t="s">
        <v>347</v>
      </c>
      <c r="B40" s="77"/>
      <c r="V40" s="37"/>
      <c r="W40" s="57"/>
      <c r="X40" s="58"/>
      <c r="Y40" s="58"/>
      <c r="Z40" s="58"/>
      <c r="AA40" s="58"/>
      <c r="AB40" s="58"/>
      <c r="AC40" s="58"/>
      <c r="AD40" s="58"/>
      <c r="AE40" s="58"/>
      <c r="AF40" s="58"/>
      <c r="AG40" s="58"/>
      <c r="AH40" s="58"/>
      <c r="AI40" s="58"/>
      <c r="AJ40" s="58"/>
      <c r="AK40" s="58"/>
      <c r="AL40" s="58"/>
      <c r="AM40" s="58"/>
    </row>
    <row r="41" spans="1:39" hidden="1" x14ac:dyDescent="0.2">
      <c r="A41" s="601"/>
      <c r="B41" s="606" t="s">
        <v>283</v>
      </c>
      <c r="C41" s="607"/>
      <c r="D41" s="608"/>
      <c r="E41" s="599" t="s">
        <v>284</v>
      </c>
      <c r="F41" s="600"/>
      <c r="G41" s="195" t="s">
        <v>285</v>
      </c>
      <c r="H41" s="197" t="s">
        <v>348</v>
      </c>
      <c r="T41" s="37"/>
      <c r="U41" s="40"/>
    </row>
    <row r="42" spans="1:39" ht="14.45" hidden="1" customHeight="1" x14ac:dyDescent="0.2">
      <c r="A42" s="602"/>
      <c r="B42" s="604" t="s">
        <v>349</v>
      </c>
      <c r="C42" s="604" t="s">
        <v>350</v>
      </c>
      <c r="D42" s="604" t="s">
        <v>351</v>
      </c>
      <c r="E42" s="611" t="s">
        <v>352</v>
      </c>
      <c r="F42" s="611" t="s">
        <v>353</v>
      </c>
      <c r="G42" s="609" t="s">
        <v>354</v>
      </c>
      <c r="H42" s="597" t="s">
        <v>351</v>
      </c>
      <c r="T42" s="37"/>
      <c r="U42" s="40"/>
    </row>
    <row r="43" spans="1:39" ht="37.9" hidden="1" customHeight="1" x14ac:dyDescent="0.2">
      <c r="A43" s="603"/>
      <c r="B43" s="605"/>
      <c r="C43" s="605"/>
      <c r="D43" s="605"/>
      <c r="E43" s="612"/>
      <c r="F43" s="612"/>
      <c r="G43" s="610"/>
      <c r="H43" s="598"/>
      <c r="T43" s="37"/>
      <c r="U43" s="40"/>
    </row>
    <row r="44" spans="1:39" ht="25.5" hidden="1" x14ac:dyDescent="0.2">
      <c r="A44" s="193" t="s">
        <v>41</v>
      </c>
      <c r="B44" s="194">
        <v>0.28582260427187295</v>
      </c>
      <c r="C44" s="16" t="s">
        <v>355</v>
      </c>
      <c r="D44" s="194" t="s">
        <v>356</v>
      </c>
      <c r="E44" s="194">
        <v>0.29186439535696285</v>
      </c>
      <c r="F44" s="16" t="s">
        <v>357</v>
      </c>
      <c r="G44" s="196" t="s">
        <v>358</v>
      </c>
      <c r="H44" s="198" t="s">
        <v>359</v>
      </c>
      <c r="T44" s="37"/>
      <c r="U44" s="40"/>
    </row>
    <row r="45" spans="1:39" hidden="1" x14ac:dyDescent="0.2">
      <c r="A45" s="104" t="s">
        <v>360</v>
      </c>
      <c r="V45" s="39"/>
      <c r="X45" s="37"/>
      <c r="Y45" s="37"/>
      <c r="Z45" s="37"/>
      <c r="AA45" s="37"/>
      <c r="AB45" s="37"/>
      <c r="AC45" s="37"/>
      <c r="AD45" s="37"/>
      <c r="AE45" s="37"/>
      <c r="AF45" s="37"/>
      <c r="AG45" s="37"/>
      <c r="AH45" s="37"/>
      <c r="AI45" s="37"/>
      <c r="AJ45" s="37"/>
      <c r="AK45" s="37"/>
      <c r="AL45" s="37"/>
      <c r="AM45" s="37"/>
    </row>
    <row r="46" spans="1:39" hidden="1" x14ac:dyDescent="0.2">
      <c r="V46" s="37"/>
    </row>
    <row r="47" spans="1:39" ht="18.600000000000001" hidden="1" customHeight="1" x14ac:dyDescent="0.2">
      <c r="A47" s="202" t="s">
        <v>361</v>
      </c>
    </row>
    <row r="48" spans="1:39" hidden="1" x14ac:dyDescent="0.2">
      <c r="A48" s="201"/>
      <c r="B48" s="200" t="s">
        <v>362</v>
      </c>
      <c r="C48" s="200" t="s">
        <v>78</v>
      </c>
      <c r="D48" s="200" t="s">
        <v>363</v>
      </c>
    </row>
    <row r="49" spans="1:39" ht="102" hidden="1" x14ac:dyDescent="0.2">
      <c r="A49" s="199" t="s">
        <v>364</v>
      </c>
      <c r="B49" s="224" t="s">
        <v>365</v>
      </c>
      <c r="C49" s="224" t="s">
        <v>366</v>
      </c>
      <c r="D49" s="224" t="s">
        <v>367</v>
      </c>
      <c r="U49" s="36"/>
      <c r="V49" s="36"/>
      <c r="W49" s="56"/>
      <c r="X49" s="56"/>
      <c r="Y49" s="56"/>
      <c r="Z49" s="56"/>
      <c r="AA49" s="56"/>
      <c r="AB49" s="56"/>
      <c r="AC49" s="56"/>
      <c r="AD49" s="56"/>
      <c r="AE49" s="56"/>
      <c r="AF49" s="56"/>
      <c r="AG49" s="56"/>
      <c r="AH49" s="56"/>
      <c r="AI49" s="56"/>
      <c r="AJ49" s="56"/>
      <c r="AK49" s="56"/>
      <c r="AL49" s="56"/>
    </row>
    <row r="50" spans="1:39" hidden="1" x14ac:dyDescent="0.2">
      <c r="A50" s="199" t="s">
        <v>368</v>
      </c>
      <c r="B50" s="185"/>
      <c r="C50" s="185"/>
      <c r="D50" s="185"/>
      <c r="V50" s="40"/>
    </row>
    <row r="51" spans="1:39" hidden="1" x14ac:dyDescent="0.2">
      <c r="A51" s="199" t="s">
        <v>369</v>
      </c>
      <c r="B51" s="185"/>
      <c r="C51" s="185"/>
      <c r="D51" s="185"/>
      <c r="U51" s="37"/>
      <c r="V51" s="40"/>
    </row>
    <row r="52" spans="1:39" hidden="1" x14ac:dyDescent="0.2">
      <c r="U52" s="37"/>
      <c r="V52" s="40"/>
    </row>
    <row r="53" spans="1:39" hidden="1" x14ac:dyDescent="0.2">
      <c r="V53" s="37"/>
      <c r="W53" s="40"/>
    </row>
    <row r="54" spans="1:39" ht="15" hidden="1" x14ac:dyDescent="0.25">
      <c r="A54" t="s">
        <v>370</v>
      </c>
      <c r="V54" s="37"/>
      <c r="W54" s="40"/>
    </row>
    <row r="55" spans="1:39" ht="15" hidden="1" x14ac:dyDescent="0.25">
      <c r="A55" t="s">
        <v>371</v>
      </c>
      <c r="V55" s="37"/>
      <c r="W55" s="40"/>
    </row>
    <row r="56" spans="1:39" ht="15" hidden="1" x14ac:dyDescent="0.25">
      <c r="A56" s="1" t="s">
        <v>372</v>
      </c>
      <c r="V56" s="37"/>
      <c r="W56" s="40"/>
    </row>
    <row r="57" spans="1:39" ht="15" hidden="1" x14ac:dyDescent="0.25">
      <c r="A57" t="s">
        <v>373</v>
      </c>
      <c r="V57" s="39"/>
      <c r="X57" s="37"/>
      <c r="Y57" s="37"/>
      <c r="Z57" s="37"/>
      <c r="AA57" s="37"/>
      <c r="AB57" s="37"/>
      <c r="AC57" s="37"/>
      <c r="AD57" s="37"/>
      <c r="AE57" s="37"/>
      <c r="AF57" s="37"/>
      <c r="AG57" s="37"/>
      <c r="AH57" s="37"/>
      <c r="AI57" s="37"/>
      <c r="AJ57" s="37"/>
      <c r="AK57" s="37"/>
      <c r="AL57" s="37"/>
      <c r="AM57" s="37"/>
    </row>
    <row r="58" spans="1:39" ht="15" hidden="1" x14ac:dyDescent="0.25">
      <c r="A58"/>
    </row>
    <row r="59" spans="1:39" ht="15" hidden="1" x14ac:dyDescent="0.25">
      <c r="A59" s="1" t="s">
        <v>374</v>
      </c>
    </row>
    <row r="60" spans="1:39" ht="15" hidden="1" x14ac:dyDescent="0.25">
      <c r="A60" s="1"/>
    </row>
    <row r="61" spans="1:39" hidden="1" x14ac:dyDescent="0.2"/>
    <row r="62" spans="1:39" hidden="1" x14ac:dyDescent="0.2"/>
    <row r="63" spans="1:39" hidden="1" x14ac:dyDescent="0.2">
      <c r="B63" s="485"/>
      <c r="D63" s="38"/>
    </row>
    <row r="64" spans="1:39" hidden="1" x14ac:dyDescent="0.2"/>
    <row r="65" hidden="1" x14ac:dyDescent="0.2"/>
    <row r="66" hidden="1" x14ac:dyDescent="0.2"/>
    <row r="67" hidden="1" x14ac:dyDescent="0.2"/>
    <row r="68" hidden="1" x14ac:dyDescent="0.2"/>
    <row r="69" hidden="1" x14ac:dyDescent="0.2"/>
    <row r="70" hidden="1" x14ac:dyDescent="0.2"/>
    <row r="71" hidden="1" x14ac:dyDescent="0.2"/>
    <row r="72" hidden="1" x14ac:dyDescent="0.2"/>
    <row r="73" hidden="1" x14ac:dyDescent="0.2"/>
    <row r="74" hidden="1" x14ac:dyDescent="0.2"/>
    <row r="75" hidden="1" x14ac:dyDescent="0.2"/>
    <row r="76" hidden="1" x14ac:dyDescent="0.2"/>
    <row r="77" hidden="1" x14ac:dyDescent="0.2"/>
    <row r="78" hidden="1" x14ac:dyDescent="0.2"/>
    <row r="79" hidden="1" x14ac:dyDescent="0.2"/>
    <row r="80" hidden="1" x14ac:dyDescent="0.2"/>
    <row r="81" hidden="1" x14ac:dyDescent="0.2"/>
    <row r="82" hidden="1" x14ac:dyDescent="0.2"/>
    <row r="83" hidden="1" x14ac:dyDescent="0.2"/>
    <row r="84" hidden="1" x14ac:dyDescent="0.2"/>
    <row r="85" hidden="1" x14ac:dyDescent="0.2"/>
  </sheetData>
  <mergeCells count="32">
    <mergeCell ref="F29:F31"/>
    <mergeCell ref="E29:E31"/>
    <mergeCell ref="H29:H31"/>
    <mergeCell ref="B29:B31"/>
    <mergeCell ref="A29:A31"/>
    <mergeCell ref="F24:F26"/>
    <mergeCell ref="G24:G26"/>
    <mergeCell ref="A24:A26"/>
    <mergeCell ref="B24:B26"/>
    <mergeCell ref="A22:H22"/>
    <mergeCell ref="H24:H26"/>
    <mergeCell ref="B14:B16"/>
    <mergeCell ref="A3:A5"/>
    <mergeCell ref="A6:A8"/>
    <mergeCell ref="F14:F16"/>
    <mergeCell ref="C14:C16"/>
    <mergeCell ref="A1:G1"/>
    <mergeCell ref="G6:G8"/>
    <mergeCell ref="G3:G5"/>
    <mergeCell ref="H42:H43"/>
    <mergeCell ref="E41:F41"/>
    <mergeCell ref="A41:A43"/>
    <mergeCell ref="A12:G12"/>
    <mergeCell ref="D42:D43"/>
    <mergeCell ref="B41:D41"/>
    <mergeCell ref="G42:G43"/>
    <mergeCell ref="F42:F43"/>
    <mergeCell ref="E42:E43"/>
    <mergeCell ref="C42:C43"/>
    <mergeCell ref="B42:B43"/>
    <mergeCell ref="D14:D16"/>
    <mergeCell ref="G14:G16"/>
  </mergeCells>
  <phoneticPr fontId="7" type="noConversion"/>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8CF2B8-D81A-4739-B3FD-7DE124AB8529}">
  <sheetPr codeName="Sheet7"/>
  <dimension ref="A1:S13"/>
  <sheetViews>
    <sheetView workbookViewId="0">
      <selection sqref="A1:S1"/>
    </sheetView>
  </sheetViews>
  <sheetFormatPr defaultRowHeight="15" x14ac:dyDescent="0.25"/>
  <cols>
    <col min="1" max="1" width="21.28515625" customWidth="1"/>
    <col min="2" max="2" width="26.140625" customWidth="1"/>
    <col min="19" max="19" width="24.7109375" customWidth="1"/>
  </cols>
  <sheetData>
    <row r="1" spans="1:19" ht="24" customHeight="1" x14ac:dyDescent="0.25">
      <c r="A1" s="578" t="str">
        <f>"Thermostat Setpoints - "&amp;Prototype!A2</f>
        <v>Thermostat Setpoints - Warehouse</v>
      </c>
      <c r="B1" s="578"/>
      <c r="C1" s="578"/>
      <c r="D1" s="578"/>
      <c r="E1" s="578"/>
      <c r="F1" s="578"/>
      <c r="G1" s="578"/>
      <c r="H1" s="578"/>
      <c r="I1" s="578"/>
      <c r="J1" s="578"/>
      <c r="K1" s="578"/>
      <c r="L1" s="578"/>
      <c r="M1" s="578"/>
      <c r="N1" s="578"/>
      <c r="O1" s="578"/>
      <c r="P1" s="578"/>
      <c r="Q1" s="578"/>
      <c r="R1" s="578"/>
      <c r="S1" s="578"/>
    </row>
    <row r="2" spans="1:19" ht="27.6" customHeight="1" thickBot="1" x14ac:dyDescent="0.3">
      <c r="A2" s="75" t="s">
        <v>153</v>
      </c>
      <c r="B2" s="75" t="s">
        <v>376</v>
      </c>
      <c r="C2" s="76" t="s">
        <v>184</v>
      </c>
      <c r="D2" s="76" t="s">
        <v>185</v>
      </c>
      <c r="E2" s="76" t="s">
        <v>186</v>
      </c>
      <c r="F2" s="76" t="s">
        <v>187</v>
      </c>
      <c r="G2" s="76" t="s">
        <v>188</v>
      </c>
      <c r="H2" s="76" t="s">
        <v>189</v>
      </c>
      <c r="I2" s="76" t="s">
        <v>190</v>
      </c>
      <c r="J2" s="76" t="s">
        <v>191</v>
      </c>
      <c r="K2" s="76" t="s">
        <v>192</v>
      </c>
      <c r="L2" s="76" t="s">
        <v>193</v>
      </c>
      <c r="M2" s="76" t="s">
        <v>194</v>
      </c>
      <c r="N2" s="76" t="s">
        <v>195</v>
      </c>
      <c r="O2" s="76" t="s">
        <v>196</v>
      </c>
      <c r="P2" s="76" t="s">
        <v>197</v>
      </c>
      <c r="Q2" s="76" t="s">
        <v>198</v>
      </c>
      <c r="R2" s="76" t="s">
        <v>199</v>
      </c>
      <c r="S2" s="171" t="s">
        <v>238</v>
      </c>
    </row>
    <row r="3" spans="1:19" ht="20.45" customHeight="1" x14ac:dyDescent="0.25">
      <c r="A3" s="640" t="str">
        <f>Zones!A3</f>
        <v>Office</v>
      </c>
      <c r="B3" s="116" t="s">
        <v>377</v>
      </c>
      <c r="C3" s="162">
        <v>70</v>
      </c>
      <c r="D3" s="162">
        <v>70</v>
      </c>
      <c r="E3" s="162">
        <v>70</v>
      </c>
      <c r="F3" s="162">
        <v>70</v>
      </c>
      <c r="G3" s="162">
        <v>70</v>
      </c>
      <c r="H3" s="162">
        <v>70</v>
      </c>
      <c r="I3" s="162">
        <v>70</v>
      </c>
      <c r="J3" s="162">
        <v>70</v>
      </c>
      <c r="K3" s="162">
        <v>70</v>
      </c>
      <c r="L3" s="162">
        <v>70</v>
      </c>
      <c r="M3" s="162">
        <v>70</v>
      </c>
      <c r="N3" s="162">
        <v>70</v>
      </c>
      <c r="O3" s="162">
        <v>70</v>
      </c>
      <c r="P3" s="162">
        <v>70</v>
      </c>
      <c r="Q3" s="162">
        <v>70</v>
      </c>
      <c r="R3" s="163">
        <v>70</v>
      </c>
      <c r="S3" s="643" t="s">
        <v>378</v>
      </c>
    </row>
    <row r="4" spans="1:19" ht="20.45" customHeight="1" x14ac:dyDescent="0.25">
      <c r="A4" s="641"/>
      <c r="B4" s="484" t="s">
        <v>379</v>
      </c>
      <c r="C4" s="512">
        <v>60</v>
      </c>
      <c r="D4" s="512">
        <v>60</v>
      </c>
      <c r="E4" s="512">
        <v>60</v>
      </c>
      <c r="F4" s="512">
        <v>60</v>
      </c>
      <c r="G4" s="512">
        <v>60</v>
      </c>
      <c r="H4" s="512">
        <v>60</v>
      </c>
      <c r="I4" s="512">
        <v>60</v>
      </c>
      <c r="J4" s="512">
        <v>60</v>
      </c>
      <c r="K4" s="512">
        <v>60</v>
      </c>
      <c r="L4" s="512">
        <v>60</v>
      </c>
      <c r="M4" s="512">
        <v>60</v>
      </c>
      <c r="N4" s="512">
        <v>60</v>
      </c>
      <c r="O4" s="512">
        <v>60</v>
      </c>
      <c r="P4" s="512">
        <v>60</v>
      </c>
      <c r="Q4" s="512">
        <v>60</v>
      </c>
      <c r="R4" s="164">
        <v>60</v>
      </c>
      <c r="S4" s="644"/>
    </row>
    <row r="5" spans="1:19" ht="20.45" customHeight="1" x14ac:dyDescent="0.25">
      <c r="A5" s="641"/>
      <c r="B5" s="484" t="s">
        <v>380</v>
      </c>
      <c r="C5" s="512">
        <v>75</v>
      </c>
      <c r="D5" s="512">
        <v>75</v>
      </c>
      <c r="E5" s="512">
        <v>75</v>
      </c>
      <c r="F5" s="512">
        <v>75</v>
      </c>
      <c r="G5" s="512">
        <v>75</v>
      </c>
      <c r="H5" s="512">
        <v>75</v>
      </c>
      <c r="I5" s="512">
        <v>75</v>
      </c>
      <c r="J5" s="512">
        <v>75</v>
      </c>
      <c r="K5" s="512">
        <v>75</v>
      </c>
      <c r="L5" s="512">
        <v>75</v>
      </c>
      <c r="M5" s="512">
        <v>75</v>
      </c>
      <c r="N5" s="512">
        <v>75</v>
      </c>
      <c r="O5" s="512">
        <v>75</v>
      </c>
      <c r="P5" s="512">
        <v>75</v>
      </c>
      <c r="Q5" s="512">
        <v>75</v>
      </c>
      <c r="R5" s="164">
        <v>75</v>
      </c>
      <c r="S5" s="644"/>
    </row>
    <row r="6" spans="1:19" ht="20.45" customHeight="1" thickBot="1" x14ac:dyDescent="0.3">
      <c r="A6" s="642"/>
      <c r="B6" s="118" t="s">
        <v>381</v>
      </c>
      <c r="C6" s="165">
        <v>85</v>
      </c>
      <c r="D6" s="165">
        <v>85</v>
      </c>
      <c r="E6" s="165">
        <v>85</v>
      </c>
      <c r="F6" s="165">
        <v>85</v>
      </c>
      <c r="G6" s="165">
        <v>85</v>
      </c>
      <c r="H6" s="165">
        <v>85</v>
      </c>
      <c r="I6" s="165">
        <v>85</v>
      </c>
      <c r="J6" s="165">
        <v>85</v>
      </c>
      <c r="K6" s="165">
        <v>85</v>
      </c>
      <c r="L6" s="165">
        <v>85</v>
      </c>
      <c r="M6" s="165">
        <v>85</v>
      </c>
      <c r="N6" s="165">
        <v>85</v>
      </c>
      <c r="O6" s="165">
        <v>85</v>
      </c>
      <c r="P6" s="165">
        <v>85</v>
      </c>
      <c r="Q6" s="165">
        <v>85</v>
      </c>
      <c r="R6" s="166">
        <v>85</v>
      </c>
      <c r="S6" s="645"/>
    </row>
    <row r="7" spans="1:19" ht="20.45" customHeight="1" x14ac:dyDescent="0.25">
      <c r="A7" s="640" t="str">
        <f>Zones!A4</f>
        <v>FineStorage</v>
      </c>
      <c r="B7" s="116" t="s">
        <v>377</v>
      </c>
      <c r="C7" s="116">
        <v>70</v>
      </c>
      <c r="D7" s="116">
        <v>70</v>
      </c>
      <c r="E7" s="116">
        <v>70</v>
      </c>
      <c r="F7" s="116">
        <v>70</v>
      </c>
      <c r="G7" s="116">
        <v>70</v>
      </c>
      <c r="H7" s="116">
        <v>70</v>
      </c>
      <c r="I7" s="116">
        <v>70</v>
      </c>
      <c r="J7" s="116">
        <v>70</v>
      </c>
      <c r="K7" s="116">
        <v>70</v>
      </c>
      <c r="L7" s="116">
        <v>70</v>
      </c>
      <c r="M7" s="116">
        <v>70</v>
      </c>
      <c r="N7" s="116">
        <v>70</v>
      </c>
      <c r="O7" s="116">
        <v>70</v>
      </c>
      <c r="P7" s="116">
        <v>70</v>
      </c>
      <c r="Q7" s="116">
        <v>70</v>
      </c>
      <c r="R7" s="117">
        <v>70</v>
      </c>
      <c r="S7" s="643" t="s">
        <v>378</v>
      </c>
    </row>
    <row r="8" spans="1:19" ht="20.45" customHeight="1" x14ac:dyDescent="0.25">
      <c r="A8" s="641"/>
      <c r="B8" s="484" t="s">
        <v>379</v>
      </c>
      <c r="C8" s="484">
        <v>60</v>
      </c>
      <c r="D8" s="484">
        <v>60</v>
      </c>
      <c r="E8" s="484">
        <v>60</v>
      </c>
      <c r="F8" s="484">
        <v>60</v>
      </c>
      <c r="G8" s="484">
        <v>60</v>
      </c>
      <c r="H8" s="484">
        <v>60</v>
      </c>
      <c r="I8" s="484">
        <v>60</v>
      </c>
      <c r="J8" s="484">
        <v>60</v>
      </c>
      <c r="K8" s="484">
        <v>60</v>
      </c>
      <c r="L8" s="484">
        <v>60</v>
      </c>
      <c r="M8" s="484">
        <v>60</v>
      </c>
      <c r="N8" s="484">
        <v>60</v>
      </c>
      <c r="O8" s="484">
        <v>60</v>
      </c>
      <c r="P8" s="484">
        <v>60</v>
      </c>
      <c r="Q8" s="484">
        <v>60</v>
      </c>
      <c r="R8" s="161">
        <v>60</v>
      </c>
      <c r="S8" s="644"/>
    </row>
    <row r="9" spans="1:19" ht="20.45" customHeight="1" x14ac:dyDescent="0.25">
      <c r="A9" s="641"/>
      <c r="B9" s="484" t="s">
        <v>380</v>
      </c>
      <c r="C9" s="484">
        <v>75</v>
      </c>
      <c r="D9" s="484">
        <v>75</v>
      </c>
      <c r="E9" s="484">
        <v>75</v>
      </c>
      <c r="F9" s="484">
        <v>75</v>
      </c>
      <c r="G9" s="484">
        <v>75</v>
      </c>
      <c r="H9" s="484">
        <v>75</v>
      </c>
      <c r="I9" s="484">
        <v>75</v>
      </c>
      <c r="J9" s="484">
        <v>75</v>
      </c>
      <c r="K9" s="484">
        <v>75</v>
      </c>
      <c r="L9" s="484">
        <v>75</v>
      </c>
      <c r="M9" s="484">
        <v>75</v>
      </c>
      <c r="N9" s="484">
        <v>75</v>
      </c>
      <c r="O9" s="484">
        <v>75</v>
      </c>
      <c r="P9" s="484">
        <v>75</v>
      </c>
      <c r="Q9" s="484">
        <v>75</v>
      </c>
      <c r="R9" s="161">
        <v>75</v>
      </c>
      <c r="S9" s="644"/>
    </row>
    <row r="10" spans="1:19" ht="20.45" customHeight="1" thickBot="1" x14ac:dyDescent="0.3">
      <c r="A10" s="642"/>
      <c r="B10" s="118" t="s">
        <v>381</v>
      </c>
      <c r="C10" s="118">
        <v>85</v>
      </c>
      <c r="D10" s="118">
        <v>85</v>
      </c>
      <c r="E10" s="118">
        <v>85</v>
      </c>
      <c r="F10" s="118">
        <v>85</v>
      </c>
      <c r="G10" s="118">
        <v>85</v>
      </c>
      <c r="H10" s="118">
        <v>85</v>
      </c>
      <c r="I10" s="118">
        <v>85</v>
      </c>
      <c r="J10" s="118">
        <v>85</v>
      </c>
      <c r="K10" s="118">
        <v>85</v>
      </c>
      <c r="L10" s="118">
        <v>85</v>
      </c>
      <c r="M10" s="118">
        <v>85</v>
      </c>
      <c r="N10" s="118">
        <v>85</v>
      </c>
      <c r="O10" s="118">
        <v>85</v>
      </c>
      <c r="P10" s="118">
        <v>85</v>
      </c>
      <c r="Q10" s="118">
        <v>85</v>
      </c>
      <c r="R10" s="119">
        <v>85</v>
      </c>
      <c r="S10" s="645"/>
    </row>
    <row r="11" spans="1:19" ht="30" customHeight="1" thickBot="1" x14ac:dyDescent="0.3">
      <c r="A11" s="167" t="str">
        <f>Zones!A5</f>
        <v>BulkStorage</v>
      </c>
      <c r="B11" s="168" t="s">
        <v>382</v>
      </c>
      <c r="C11" s="169">
        <v>50</v>
      </c>
      <c r="D11" s="169">
        <v>50</v>
      </c>
      <c r="E11" s="169">
        <v>50</v>
      </c>
      <c r="F11" s="169">
        <v>50</v>
      </c>
      <c r="G11" s="169">
        <v>50</v>
      </c>
      <c r="H11" s="169">
        <v>50</v>
      </c>
      <c r="I11" s="169">
        <v>50</v>
      </c>
      <c r="J11" s="169">
        <v>50</v>
      </c>
      <c r="K11" s="169">
        <v>50</v>
      </c>
      <c r="L11" s="169">
        <v>50</v>
      </c>
      <c r="M11" s="169">
        <v>50</v>
      </c>
      <c r="N11" s="169">
        <v>50</v>
      </c>
      <c r="O11" s="169">
        <v>50</v>
      </c>
      <c r="P11" s="169">
        <v>50</v>
      </c>
      <c r="Q11" s="169">
        <v>50</v>
      </c>
      <c r="R11" s="170">
        <v>50</v>
      </c>
      <c r="S11" s="172" t="s">
        <v>383</v>
      </c>
    </row>
    <row r="13" spans="1:19" x14ac:dyDescent="0.25">
      <c r="A13" t="s">
        <v>384</v>
      </c>
    </row>
  </sheetData>
  <mergeCells count="5">
    <mergeCell ref="A3:A6"/>
    <mergeCell ref="A7:A10"/>
    <mergeCell ref="A1:S1"/>
    <mergeCell ref="S3:S6"/>
    <mergeCell ref="S7:S10"/>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730C9-5C61-418E-9D38-D82374F9BCB6}">
  <sheetPr codeName="Sheet15"/>
  <dimension ref="A1:AA50"/>
  <sheetViews>
    <sheetView zoomScale="91" zoomScaleNormal="85" workbookViewId="0">
      <selection sqref="A1:K1"/>
    </sheetView>
  </sheetViews>
  <sheetFormatPr defaultColWidth="9.28515625" defaultRowHeight="14.25" x14ac:dyDescent="0.2"/>
  <cols>
    <col min="1" max="1" width="23.140625" style="62" customWidth="1"/>
    <col min="2" max="2" width="15.28515625" style="62" customWidth="1"/>
    <col min="3" max="3" width="13.28515625" style="62" customWidth="1"/>
    <col min="4" max="4" width="29.5703125" style="62" customWidth="1"/>
    <col min="5" max="5" width="27.28515625" style="62" customWidth="1"/>
    <col min="6" max="6" width="31.140625" style="62" customWidth="1"/>
    <col min="7" max="7" width="16" style="62" customWidth="1"/>
    <col min="8" max="8" width="15.28515625" style="62" customWidth="1"/>
    <col min="9" max="9" width="16.85546875" style="62" customWidth="1"/>
    <col min="10" max="10" width="13.7109375" style="62" customWidth="1"/>
    <col min="11" max="11" width="32.7109375" style="62" customWidth="1"/>
    <col min="12" max="12" width="13.7109375" style="62" customWidth="1"/>
    <col min="13" max="13" width="11.7109375" style="62" customWidth="1"/>
    <col min="14" max="14" width="13.7109375" style="62" customWidth="1"/>
    <col min="15" max="15" width="12.28515625" style="62" customWidth="1"/>
    <col min="16" max="16" width="13.7109375" style="62" customWidth="1"/>
    <col min="17" max="17" width="12.28515625" style="62" customWidth="1"/>
    <col min="18" max="18" width="13.7109375" style="62" customWidth="1"/>
    <col min="19" max="19" width="11.7109375" style="62" customWidth="1"/>
    <col min="20" max="21" width="10.7109375" style="62" customWidth="1"/>
    <col min="22" max="22" width="9.28515625" style="62"/>
    <col min="23" max="27" width="11.28515625" style="62" customWidth="1"/>
    <col min="28" max="16384" width="9.28515625" style="62"/>
  </cols>
  <sheetData>
    <row r="1" spans="1:27" ht="24.6" customHeight="1" x14ac:dyDescent="0.2">
      <c r="A1" s="578" t="str">
        <f>"Outdoor Airflow Rate - "&amp;Prototype!A2</f>
        <v>Outdoor Airflow Rate - Warehouse</v>
      </c>
      <c r="B1" s="578"/>
      <c r="C1" s="578"/>
      <c r="D1" s="578"/>
      <c r="E1" s="578"/>
      <c r="F1" s="578"/>
      <c r="G1" s="578"/>
      <c r="H1" s="578"/>
      <c r="I1" s="578"/>
      <c r="J1" s="578"/>
      <c r="K1" s="578"/>
      <c r="L1" s="2"/>
      <c r="M1" s="2"/>
      <c r="N1" s="2"/>
      <c r="O1" s="2"/>
      <c r="P1" s="2"/>
      <c r="Q1" s="2"/>
      <c r="R1" s="2"/>
      <c r="S1" s="2"/>
      <c r="T1" s="2"/>
      <c r="U1" s="2"/>
      <c r="V1" s="2"/>
      <c r="W1" s="2"/>
      <c r="X1" s="2"/>
      <c r="Y1" s="2"/>
      <c r="Z1" s="2"/>
      <c r="AA1" s="2"/>
    </row>
    <row r="2" spans="1:27" ht="43.15" customHeight="1" x14ac:dyDescent="0.2">
      <c r="A2" s="304" t="s">
        <v>153</v>
      </c>
      <c r="B2" s="331" t="s">
        <v>162</v>
      </c>
      <c r="C2" s="331" t="s">
        <v>385</v>
      </c>
      <c r="D2" s="316" t="s">
        <v>386</v>
      </c>
      <c r="E2" s="316" t="s">
        <v>387</v>
      </c>
      <c r="F2" s="316" t="s">
        <v>388</v>
      </c>
      <c r="G2" s="316" t="s">
        <v>389</v>
      </c>
      <c r="H2" s="316" t="s">
        <v>390</v>
      </c>
      <c r="I2" s="316" t="s">
        <v>391</v>
      </c>
      <c r="J2" s="304" t="s">
        <v>392</v>
      </c>
      <c r="K2" s="304" t="s">
        <v>40</v>
      </c>
      <c r="L2" s="2"/>
      <c r="M2" s="2"/>
      <c r="N2" s="2"/>
      <c r="O2" s="2"/>
      <c r="P2" s="2"/>
      <c r="Q2" s="2"/>
      <c r="R2" s="2"/>
      <c r="S2" s="2"/>
      <c r="T2" s="2"/>
      <c r="U2" s="2"/>
      <c r="V2" s="2"/>
      <c r="W2" s="2"/>
      <c r="X2" s="2"/>
      <c r="Y2" s="2"/>
      <c r="Z2" s="2"/>
      <c r="AA2" s="2"/>
    </row>
    <row r="3" spans="1:27" ht="28.9" customHeight="1" x14ac:dyDescent="0.2">
      <c r="A3" s="332" t="str">
        <f>Zones!A3</f>
        <v>Office</v>
      </c>
      <c r="B3" s="315">
        <f>Zones!J3</f>
        <v>12.748749999999999</v>
      </c>
      <c r="C3" s="315">
        <f>Zones!G3</f>
        <v>2549.75</v>
      </c>
      <c r="D3" s="315">
        <v>15</v>
      </c>
      <c r="E3" s="514">
        <v>0.15</v>
      </c>
      <c r="F3" s="333" t="s">
        <v>104</v>
      </c>
      <c r="G3" s="318">
        <f t="shared" ref="G3:H4" si="0">B3*D3</f>
        <v>191.23124999999999</v>
      </c>
      <c r="H3" s="318">
        <f t="shared" si="0"/>
        <v>382.46249999999998</v>
      </c>
      <c r="I3" s="334" t="str">
        <f>F3</f>
        <v>-</v>
      </c>
      <c r="J3" s="318">
        <f>MAX(G3:I3)</f>
        <v>382.46249999999998</v>
      </c>
      <c r="K3" s="369"/>
      <c r="L3" s="2"/>
      <c r="M3" s="2"/>
      <c r="N3" s="2"/>
      <c r="O3" s="2"/>
      <c r="P3" s="2"/>
      <c r="Q3" s="2"/>
      <c r="R3" s="2"/>
      <c r="S3" s="2"/>
      <c r="T3" s="2"/>
      <c r="U3" s="2"/>
      <c r="V3" s="2"/>
      <c r="W3" s="2"/>
      <c r="X3" s="2"/>
      <c r="Y3" s="2"/>
      <c r="Z3" s="2"/>
      <c r="AA3" s="2"/>
    </row>
    <row r="4" spans="1:27" ht="28.9" customHeight="1" x14ac:dyDescent="0.2">
      <c r="A4" s="332" t="str">
        <f>Zones!A4</f>
        <v>FineStorage</v>
      </c>
      <c r="B4" s="315">
        <f>Zones!J4</f>
        <v>14.99855</v>
      </c>
      <c r="C4" s="315">
        <f>Zones!G4</f>
        <v>14998.55</v>
      </c>
      <c r="D4" s="315">
        <v>15</v>
      </c>
      <c r="E4" s="514">
        <v>0.15</v>
      </c>
      <c r="F4" s="333" t="s">
        <v>104</v>
      </c>
      <c r="G4" s="318">
        <f t="shared" si="0"/>
        <v>224.97825</v>
      </c>
      <c r="H4" s="318">
        <f t="shared" si="0"/>
        <v>2249.7824999999998</v>
      </c>
      <c r="I4" s="334" t="str">
        <f t="shared" ref="I4:I5" si="1">F4</f>
        <v>-</v>
      </c>
      <c r="J4" s="318">
        <f t="shared" ref="J4" si="2">MAX(G4:I4)</f>
        <v>2249.7824999999998</v>
      </c>
      <c r="K4" s="369"/>
      <c r="L4" s="2"/>
      <c r="M4" s="2"/>
      <c r="N4" s="2"/>
      <c r="O4" s="2"/>
      <c r="P4" s="2"/>
      <c r="Q4" s="2"/>
      <c r="R4" s="2"/>
      <c r="S4" s="2"/>
      <c r="T4" s="2"/>
      <c r="U4" s="2"/>
      <c r="V4" s="2"/>
      <c r="W4" s="2"/>
      <c r="X4" s="2"/>
      <c r="Y4" s="2"/>
      <c r="Z4" s="2"/>
      <c r="AA4" s="2"/>
    </row>
    <row r="5" spans="1:27" ht="36.75" customHeight="1" x14ac:dyDescent="0.2">
      <c r="A5" s="332" t="str">
        <f>Zones!A5</f>
        <v>BulkStorage</v>
      </c>
      <c r="B5" s="315">
        <f>Zones!J5</f>
        <v>34.496730000000007</v>
      </c>
      <c r="C5" s="315">
        <f>Zones!G5</f>
        <v>34496.730000000003</v>
      </c>
      <c r="D5" s="315">
        <v>15</v>
      </c>
      <c r="E5" s="514">
        <v>0.15</v>
      </c>
      <c r="F5" s="333" t="s">
        <v>104</v>
      </c>
      <c r="G5" s="318">
        <f t="shared" ref="G5" si="3">B5*D5</f>
        <v>517.45095000000015</v>
      </c>
      <c r="H5" s="318">
        <f t="shared" ref="H5" si="4">C5*E5</f>
        <v>5174.5095000000001</v>
      </c>
      <c r="I5" s="334" t="str">
        <f t="shared" si="1"/>
        <v>-</v>
      </c>
      <c r="J5" s="318">
        <f t="shared" ref="J5" si="5">MAX(G5:I5)</f>
        <v>5174.5095000000001</v>
      </c>
      <c r="K5" s="305" t="s">
        <v>393</v>
      </c>
      <c r="L5" s="2"/>
      <c r="M5" s="2"/>
      <c r="N5" s="2"/>
      <c r="O5" s="2"/>
      <c r="P5" s="2"/>
      <c r="Q5" s="2"/>
      <c r="R5" s="2"/>
      <c r="S5" s="2"/>
      <c r="T5" s="2"/>
      <c r="U5" s="2"/>
      <c r="V5" s="2"/>
      <c r="W5" s="2"/>
      <c r="X5" s="2"/>
      <c r="Y5" s="2"/>
      <c r="Z5" s="2"/>
      <c r="AA5" s="2"/>
    </row>
    <row r="6" spans="1:27" x14ac:dyDescent="0.2">
      <c r="A6" s="2"/>
      <c r="B6" s="2"/>
      <c r="C6" s="2"/>
      <c r="D6" s="2"/>
      <c r="E6" s="2"/>
      <c r="F6" s="2"/>
      <c r="G6" s="2"/>
      <c r="H6" s="2"/>
      <c r="I6" s="2"/>
      <c r="J6" s="2"/>
      <c r="K6" s="2"/>
      <c r="L6" s="2"/>
      <c r="M6" s="2"/>
      <c r="N6" s="2"/>
      <c r="O6" s="2"/>
      <c r="P6" s="2"/>
      <c r="Q6" s="2"/>
      <c r="R6" s="2"/>
      <c r="S6" s="2"/>
      <c r="T6" s="2"/>
      <c r="U6" s="2"/>
      <c r="V6" s="2"/>
      <c r="W6" s="2"/>
      <c r="X6" s="2"/>
      <c r="Y6" s="2"/>
      <c r="Z6" s="2"/>
      <c r="AA6" s="2"/>
    </row>
    <row r="7" spans="1:27" x14ac:dyDescent="0.2">
      <c r="A7" s="126" t="s">
        <v>394</v>
      </c>
      <c r="B7" s="2"/>
      <c r="C7" s="2"/>
      <c r="D7" s="2"/>
      <c r="E7" s="2"/>
      <c r="F7" s="2"/>
      <c r="G7" s="2"/>
      <c r="H7" s="2"/>
      <c r="I7" s="2"/>
      <c r="J7" s="2"/>
      <c r="K7" s="2"/>
      <c r="L7" s="2"/>
      <c r="M7" s="2"/>
      <c r="N7" s="2"/>
      <c r="O7" s="2"/>
      <c r="P7" s="2"/>
      <c r="Q7" s="2"/>
      <c r="R7" s="2"/>
      <c r="S7" s="2"/>
      <c r="T7" s="2"/>
      <c r="U7" s="2"/>
      <c r="V7" s="2"/>
      <c r="W7" s="2"/>
      <c r="X7" s="2"/>
      <c r="Y7" s="2"/>
      <c r="Z7" s="2"/>
      <c r="AA7" s="2"/>
    </row>
    <row r="8" spans="1:27" x14ac:dyDescent="0.2">
      <c r="A8" s="2"/>
      <c r="B8" s="2"/>
      <c r="C8" s="2"/>
      <c r="D8" s="2"/>
      <c r="E8" s="2"/>
      <c r="F8" s="2"/>
      <c r="G8" s="2"/>
      <c r="H8" s="2"/>
      <c r="I8" s="2"/>
      <c r="J8" s="2"/>
      <c r="K8" s="2"/>
      <c r="L8" s="2"/>
      <c r="M8" s="2"/>
      <c r="N8" s="2"/>
      <c r="O8" s="2"/>
      <c r="P8" s="2"/>
      <c r="Q8" s="2"/>
      <c r="R8" s="2"/>
      <c r="S8" s="2"/>
      <c r="T8" s="2"/>
      <c r="U8" s="2"/>
      <c r="V8" s="2"/>
      <c r="W8" s="2"/>
      <c r="X8" s="2"/>
      <c r="Y8" s="2"/>
      <c r="Z8" s="2"/>
      <c r="AA8" s="2"/>
    </row>
    <row r="9" spans="1:27" x14ac:dyDescent="0.2">
      <c r="A9" s="2"/>
      <c r="B9" s="2"/>
      <c r="C9" s="2"/>
      <c r="D9" s="2"/>
      <c r="E9" s="2"/>
      <c r="F9" s="2"/>
      <c r="G9" s="2"/>
      <c r="H9" s="2"/>
      <c r="I9" s="2"/>
      <c r="J9" s="2"/>
      <c r="K9" s="2"/>
      <c r="L9" s="2"/>
      <c r="M9" s="2"/>
      <c r="N9" s="2"/>
      <c r="O9" s="2"/>
      <c r="P9" s="2"/>
      <c r="Q9" s="2"/>
      <c r="R9" s="2"/>
      <c r="S9" s="2"/>
      <c r="T9" s="2"/>
      <c r="U9" s="2"/>
      <c r="V9" s="2"/>
      <c r="W9" s="2"/>
      <c r="X9" s="2"/>
      <c r="Y9" s="2"/>
      <c r="Z9" s="2"/>
      <c r="AA9" s="2"/>
    </row>
    <row r="10" spans="1:27" x14ac:dyDescent="0.2">
      <c r="A10" s="2"/>
      <c r="B10" s="2"/>
      <c r="C10" s="2"/>
      <c r="D10" s="2"/>
      <c r="E10" s="2"/>
      <c r="F10" s="2"/>
      <c r="G10" s="2"/>
      <c r="H10" s="2"/>
      <c r="I10" s="2"/>
      <c r="J10" s="2"/>
      <c r="K10" s="2"/>
      <c r="L10" s="2"/>
      <c r="M10" s="2"/>
      <c r="N10" s="2"/>
      <c r="O10" s="2"/>
      <c r="P10" s="2"/>
      <c r="Q10" s="2"/>
      <c r="R10" s="2"/>
      <c r="S10" s="2"/>
      <c r="T10" s="2"/>
      <c r="U10" s="2"/>
      <c r="V10" s="2"/>
      <c r="W10" s="2"/>
      <c r="X10" s="2"/>
      <c r="Y10" s="2"/>
      <c r="Z10" s="2"/>
      <c r="AA10" s="2"/>
    </row>
    <row r="11" spans="1:27" x14ac:dyDescent="0.2">
      <c r="A11" s="2"/>
      <c r="B11" s="2"/>
      <c r="C11" s="2"/>
      <c r="D11" s="2"/>
      <c r="E11" s="2"/>
      <c r="F11" s="2"/>
      <c r="G11" s="2"/>
      <c r="H11" s="2"/>
      <c r="I11" s="2"/>
      <c r="J11" s="2"/>
      <c r="K11" s="2"/>
      <c r="L11" s="2"/>
      <c r="M11" s="2"/>
      <c r="N11" s="2"/>
      <c r="O11" s="2"/>
      <c r="P11" s="2"/>
      <c r="Q11" s="2"/>
      <c r="R11" s="2"/>
      <c r="S11" s="2"/>
      <c r="T11" s="2"/>
      <c r="U11" s="2"/>
      <c r="V11" s="2"/>
      <c r="W11" s="2"/>
      <c r="X11" s="2"/>
      <c r="Y11" s="2"/>
      <c r="Z11" s="2"/>
      <c r="AA11" s="2"/>
    </row>
    <row r="12" spans="1:27" hidden="1" x14ac:dyDescent="0.2">
      <c r="A12" s="2"/>
      <c r="B12" s="2"/>
      <c r="C12" s="2"/>
      <c r="D12" s="2"/>
      <c r="E12" s="2"/>
      <c r="F12" s="2"/>
      <c r="G12" s="2"/>
      <c r="H12" s="2"/>
      <c r="I12" s="2"/>
      <c r="J12" s="2"/>
      <c r="K12" s="2"/>
      <c r="L12" s="2"/>
      <c r="M12" s="2"/>
      <c r="N12" s="2"/>
      <c r="O12" s="2"/>
      <c r="P12" s="2"/>
      <c r="Q12" s="2"/>
      <c r="R12" s="2"/>
      <c r="S12" s="2"/>
      <c r="T12" s="2"/>
      <c r="U12" s="2"/>
      <c r="V12" s="2"/>
      <c r="W12" s="2"/>
      <c r="X12" s="2"/>
      <c r="Y12" s="2"/>
      <c r="Z12" s="2"/>
      <c r="AA12" s="2"/>
    </row>
    <row r="13" spans="1:27" hidden="1" x14ac:dyDescent="0.2">
      <c r="A13" s="2"/>
      <c r="B13" s="2"/>
      <c r="C13" s="2"/>
      <c r="D13" s="2"/>
      <c r="E13" s="2"/>
      <c r="F13" s="2"/>
      <c r="G13" s="2"/>
      <c r="H13" s="2"/>
      <c r="I13" s="2"/>
      <c r="J13" s="2"/>
      <c r="K13" s="2"/>
      <c r="L13" s="2"/>
      <c r="M13" s="2"/>
      <c r="N13" s="2"/>
      <c r="O13" s="2"/>
      <c r="P13" s="2"/>
      <c r="Q13" s="2"/>
      <c r="R13" s="2"/>
      <c r="S13" s="2"/>
      <c r="T13" s="2"/>
      <c r="U13" s="2"/>
      <c r="V13" s="2"/>
      <c r="W13" s="2"/>
      <c r="X13" s="2"/>
      <c r="Y13" s="2"/>
      <c r="Z13" s="2"/>
      <c r="AA13" s="2"/>
    </row>
    <row r="14" spans="1:27" hidden="1" x14ac:dyDescent="0.2">
      <c r="A14" s="2"/>
      <c r="B14" s="2"/>
      <c r="C14" s="2"/>
      <c r="D14" s="2"/>
      <c r="E14" s="2"/>
      <c r="F14" s="2"/>
      <c r="G14" s="2"/>
      <c r="H14" s="2"/>
      <c r="I14" s="2"/>
      <c r="J14" s="2"/>
      <c r="K14" s="2"/>
      <c r="L14" s="2"/>
      <c r="M14" s="2"/>
      <c r="N14" s="2"/>
      <c r="O14" s="2"/>
      <c r="P14" s="2"/>
      <c r="Q14" s="2"/>
      <c r="R14" s="2"/>
      <c r="S14" s="2"/>
      <c r="T14" s="2"/>
      <c r="U14" s="2"/>
      <c r="V14" s="2"/>
      <c r="W14" s="2"/>
      <c r="X14" s="2"/>
      <c r="Y14" s="2"/>
      <c r="Z14" s="2"/>
      <c r="AA14" s="2"/>
    </row>
    <row r="15" spans="1:27" hidden="1" x14ac:dyDescent="0.2">
      <c r="A15" s="2"/>
      <c r="B15" s="2"/>
      <c r="C15" s="2"/>
      <c r="D15" s="2"/>
      <c r="E15" s="2"/>
      <c r="F15" s="2"/>
      <c r="G15" s="2"/>
      <c r="H15" s="2"/>
      <c r="I15" s="2"/>
      <c r="J15" s="2"/>
      <c r="K15" s="2"/>
      <c r="L15" s="2"/>
      <c r="M15" s="2"/>
      <c r="N15" s="2"/>
      <c r="O15" s="2"/>
      <c r="P15" s="2"/>
      <c r="Q15" s="2"/>
      <c r="R15" s="2"/>
      <c r="S15" s="2"/>
      <c r="T15" s="2"/>
      <c r="U15" s="2"/>
      <c r="V15" s="2"/>
      <c r="W15" s="2"/>
      <c r="X15" s="2"/>
      <c r="Y15" s="2"/>
      <c r="Z15" s="2"/>
      <c r="AA15" s="2"/>
    </row>
    <row r="16" spans="1:27" x14ac:dyDescent="0.2">
      <c r="A16" s="2"/>
      <c r="B16" s="2"/>
      <c r="C16" s="2"/>
      <c r="D16" s="2"/>
      <c r="E16" s="2"/>
      <c r="F16" s="2"/>
      <c r="G16" s="2"/>
      <c r="H16" s="2"/>
      <c r="I16" s="2"/>
      <c r="J16" s="2"/>
      <c r="K16" s="2"/>
      <c r="L16" s="2"/>
      <c r="M16" s="2"/>
      <c r="N16" s="2"/>
      <c r="O16" s="2"/>
      <c r="P16" s="2"/>
      <c r="Q16" s="2"/>
      <c r="R16" s="2"/>
      <c r="S16" s="2"/>
      <c r="T16" s="2"/>
      <c r="U16" s="2"/>
      <c r="V16" s="2"/>
      <c r="W16" s="2"/>
      <c r="X16" s="2"/>
      <c r="Y16" s="2"/>
      <c r="Z16" s="2"/>
      <c r="AA16" s="2"/>
    </row>
    <row r="17" spans="1:27" ht="15.6" customHeight="1" x14ac:dyDescent="0.2">
      <c r="A17" s="2"/>
      <c r="B17" s="2"/>
      <c r="C17" s="2"/>
      <c r="D17" s="2"/>
      <c r="E17" s="2"/>
      <c r="F17" s="2"/>
      <c r="G17" s="2"/>
      <c r="H17" s="2"/>
      <c r="I17" s="2"/>
      <c r="J17" s="2"/>
      <c r="K17" s="2"/>
      <c r="L17" s="2"/>
      <c r="M17" s="2"/>
      <c r="N17" s="2"/>
      <c r="O17" s="2"/>
      <c r="P17" s="2"/>
      <c r="Q17" s="2"/>
      <c r="R17" s="2"/>
      <c r="S17" s="2"/>
      <c r="T17" s="2"/>
      <c r="U17" s="2"/>
      <c r="V17" s="2"/>
      <c r="W17" s="2"/>
      <c r="X17" s="2"/>
      <c r="Y17" s="2"/>
      <c r="Z17" s="2"/>
      <c r="AA17" s="2"/>
    </row>
    <row r="19" spans="1:27" ht="14.45" customHeight="1" x14ac:dyDescent="0.2">
      <c r="A19" s="2"/>
      <c r="B19" s="2"/>
      <c r="C19" s="2"/>
      <c r="D19" s="2"/>
      <c r="E19" s="2"/>
      <c r="F19" s="2"/>
      <c r="G19" s="2"/>
      <c r="H19" s="2"/>
      <c r="I19" s="2"/>
      <c r="J19" s="2"/>
      <c r="K19" s="2"/>
      <c r="L19" s="2"/>
      <c r="M19" s="2"/>
      <c r="N19" s="2"/>
      <c r="O19" s="2"/>
      <c r="P19" s="2"/>
      <c r="Q19" s="2"/>
      <c r="R19" s="2"/>
      <c r="S19" s="2"/>
      <c r="T19" s="2"/>
      <c r="U19" s="2"/>
      <c r="V19" s="2"/>
      <c r="W19" s="2"/>
      <c r="X19" s="2"/>
      <c r="Y19" s="2"/>
      <c r="Z19" s="2"/>
      <c r="AA19" s="2"/>
    </row>
    <row r="20" spans="1:27" s="4" customFormat="1" ht="12" customHeight="1" x14ac:dyDescent="0.2"/>
    <row r="21" spans="1:27" s="28" customFormat="1" ht="18" hidden="1" customHeight="1" x14ac:dyDescent="0.2">
      <c r="A21" s="28" t="s">
        <v>75</v>
      </c>
    </row>
    <row r="22" spans="1:27" s="4" customFormat="1" ht="12.75" hidden="1" x14ac:dyDescent="0.2"/>
    <row r="23" spans="1:27" hidden="1" x14ac:dyDescent="0.2">
      <c r="A23" s="2"/>
      <c r="B23" s="2"/>
      <c r="C23" s="2"/>
      <c r="D23" s="2"/>
      <c r="E23" s="2"/>
      <c r="F23" s="2"/>
      <c r="G23" s="2"/>
      <c r="H23" s="2"/>
      <c r="I23" s="2"/>
      <c r="J23" s="2"/>
      <c r="K23" s="2"/>
      <c r="L23" s="2"/>
      <c r="M23" s="2"/>
      <c r="N23" s="2"/>
      <c r="O23" s="2"/>
      <c r="P23" s="2"/>
      <c r="Q23" s="2"/>
      <c r="R23" s="2"/>
      <c r="S23" s="2"/>
      <c r="T23" s="2"/>
      <c r="U23" s="2"/>
      <c r="V23" s="2"/>
      <c r="W23" s="2"/>
      <c r="X23" s="2"/>
      <c r="Y23" s="2"/>
      <c r="Z23" s="2"/>
      <c r="AA23" s="2"/>
    </row>
    <row r="24" spans="1:27" ht="31.15" hidden="1" customHeight="1" x14ac:dyDescent="0.2">
      <c r="A24" s="593" t="s">
        <v>395</v>
      </c>
      <c r="B24" s="593"/>
      <c r="C24" s="593"/>
      <c r="D24" s="593"/>
      <c r="E24" s="593"/>
      <c r="F24" s="2"/>
      <c r="G24" s="2"/>
      <c r="H24" s="2"/>
      <c r="I24" s="2"/>
      <c r="J24" s="2"/>
      <c r="K24" s="2"/>
      <c r="L24" s="2"/>
      <c r="M24" s="2"/>
      <c r="N24" s="2"/>
      <c r="O24" s="2"/>
      <c r="P24" s="2"/>
      <c r="Q24" s="2"/>
      <c r="R24" s="2"/>
      <c r="S24" s="2"/>
      <c r="T24" s="2"/>
      <c r="U24" s="2"/>
      <c r="V24" s="2"/>
      <c r="W24" s="2"/>
      <c r="X24" s="2"/>
      <c r="Y24" s="2"/>
      <c r="Z24" s="2"/>
      <c r="AA24" s="2"/>
    </row>
    <row r="25" spans="1:27" ht="38.25" hidden="1" x14ac:dyDescent="0.2">
      <c r="A25" s="509" t="s">
        <v>396</v>
      </c>
      <c r="B25" s="100" t="s">
        <v>397</v>
      </c>
      <c r="C25" s="100" t="s">
        <v>398</v>
      </c>
      <c r="D25" s="101" t="s">
        <v>399</v>
      </c>
      <c r="E25" s="509" t="s">
        <v>392</v>
      </c>
      <c r="F25" s="2"/>
      <c r="G25" s="2"/>
      <c r="H25" s="2"/>
      <c r="I25" s="2"/>
      <c r="J25" s="2"/>
      <c r="K25" s="2"/>
      <c r="L25" s="2"/>
      <c r="M25" s="2"/>
      <c r="N25" s="2"/>
      <c r="O25" s="2"/>
      <c r="P25" s="2"/>
      <c r="Q25" s="2"/>
      <c r="R25" s="2"/>
      <c r="S25" s="2"/>
      <c r="T25" s="2"/>
      <c r="U25" s="2"/>
      <c r="V25" s="2"/>
      <c r="W25" s="2"/>
      <c r="X25" s="2"/>
      <c r="Y25" s="2"/>
      <c r="Z25" s="2"/>
      <c r="AA25" s="2"/>
    </row>
    <row r="26" spans="1:27" ht="28.15" hidden="1" customHeight="1" x14ac:dyDescent="0.2">
      <c r="A26" s="226" t="s">
        <v>400</v>
      </c>
      <c r="B26" s="102">
        <f>Zones!J5</f>
        <v>34.496730000000007</v>
      </c>
      <c r="C26" s="102">
        <f>Zones!G5</f>
        <v>34496.730000000003</v>
      </c>
      <c r="D26" s="272" t="s">
        <v>401</v>
      </c>
      <c r="E26" s="160">
        <f>1.5*C26</f>
        <v>51745.095000000001</v>
      </c>
      <c r="F26" s="2"/>
      <c r="G26" s="2"/>
      <c r="H26" s="2"/>
      <c r="I26" s="2"/>
      <c r="J26" s="2"/>
      <c r="K26" s="2"/>
      <c r="L26" s="2"/>
      <c r="M26" s="2"/>
      <c r="N26" s="2"/>
      <c r="O26" s="2"/>
      <c r="P26" s="2"/>
      <c r="Q26" s="2"/>
      <c r="R26" s="2"/>
      <c r="S26" s="2"/>
      <c r="T26" s="2"/>
      <c r="U26" s="2"/>
      <c r="V26" s="2"/>
      <c r="W26" s="2"/>
      <c r="X26" s="2"/>
      <c r="Y26" s="2"/>
      <c r="Z26" s="2"/>
      <c r="AA26" s="2"/>
    </row>
    <row r="27" spans="1:27" hidden="1" x14ac:dyDescent="0.2">
      <c r="A27" s="227"/>
      <c r="B27" s="228"/>
      <c r="C27" s="228"/>
      <c r="D27" s="2"/>
      <c r="E27" s="229"/>
      <c r="F27" s="2"/>
      <c r="G27" s="2"/>
      <c r="H27" s="2"/>
      <c r="I27" s="2"/>
      <c r="J27" s="2"/>
      <c r="K27" s="2"/>
      <c r="L27" s="2"/>
      <c r="M27" s="2"/>
      <c r="N27" s="2"/>
      <c r="O27" s="2"/>
      <c r="P27" s="2"/>
      <c r="Q27" s="2"/>
      <c r="R27" s="2"/>
      <c r="S27" s="2"/>
      <c r="T27" s="2"/>
      <c r="U27" s="2"/>
      <c r="V27" s="2"/>
      <c r="W27" s="2"/>
      <c r="X27" s="2"/>
      <c r="Y27" s="2"/>
      <c r="Z27" s="2"/>
      <c r="AA27" s="2"/>
    </row>
    <row r="28" spans="1:27" hidden="1" x14ac:dyDescent="0.2">
      <c r="A28" s="259" t="s">
        <v>402</v>
      </c>
      <c r="B28" s="2"/>
      <c r="C28" s="2"/>
      <c r="D28" s="2"/>
      <c r="E28" s="2"/>
      <c r="F28" s="2"/>
      <c r="G28" s="2"/>
      <c r="H28" s="2"/>
      <c r="I28" s="2"/>
      <c r="J28" s="2"/>
      <c r="K28" s="2"/>
      <c r="L28" s="2"/>
      <c r="M28" s="2"/>
      <c r="N28" s="2"/>
      <c r="O28" s="2"/>
      <c r="P28" s="2"/>
      <c r="Q28" s="2"/>
      <c r="R28" s="2"/>
      <c r="S28" s="2"/>
      <c r="T28" s="2"/>
      <c r="U28" s="2"/>
      <c r="V28" s="2"/>
      <c r="W28" s="2"/>
      <c r="X28" s="2"/>
      <c r="Y28" s="2"/>
      <c r="Z28" s="2"/>
      <c r="AA28" s="2"/>
    </row>
    <row r="29" spans="1:27" hidden="1" x14ac:dyDescent="0.2">
      <c r="A29" s="2"/>
      <c r="B29" s="2"/>
      <c r="C29" s="2"/>
      <c r="D29" s="2"/>
      <c r="E29" s="2"/>
      <c r="F29" s="2"/>
      <c r="G29" s="2"/>
      <c r="H29" s="2"/>
      <c r="I29" s="2"/>
      <c r="J29" s="2"/>
      <c r="K29" s="2"/>
      <c r="L29" s="2"/>
      <c r="M29" s="2"/>
      <c r="N29" s="2"/>
      <c r="O29" s="2"/>
      <c r="P29" s="2"/>
      <c r="Q29" s="2"/>
      <c r="R29" s="2"/>
      <c r="S29" s="2"/>
      <c r="T29" s="2"/>
      <c r="U29" s="2"/>
      <c r="V29" s="2"/>
      <c r="W29" s="2"/>
      <c r="X29" s="2"/>
      <c r="Y29" s="2"/>
      <c r="Z29" s="2"/>
      <c r="AA29" s="2"/>
    </row>
    <row r="30" spans="1:27" hidden="1" x14ac:dyDescent="0.2">
      <c r="A30" s="2"/>
      <c r="B30" s="2"/>
      <c r="C30" s="2"/>
      <c r="D30" s="2"/>
      <c r="E30" s="2"/>
      <c r="F30" s="2"/>
      <c r="G30" s="2"/>
      <c r="H30" s="2"/>
      <c r="I30" s="2"/>
      <c r="J30" s="2"/>
      <c r="K30" s="2"/>
      <c r="L30" s="2"/>
      <c r="M30" s="2"/>
      <c r="N30" s="2"/>
      <c r="O30" s="2"/>
      <c r="P30" s="2"/>
      <c r="Q30" s="2"/>
      <c r="R30" s="2"/>
      <c r="S30" s="2"/>
      <c r="T30" s="2"/>
      <c r="U30" s="2"/>
      <c r="V30" s="2"/>
      <c r="W30" s="2"/>
      <c r="X30" s="2"/>
      <c r="Y30" s="2"/>
      <c r="Z30" s="2"/>
      <c r="AA30" s="2"/>
    </row>
    <row r="31" spans="1:27" hidden="1" x14ac:dyDescent="0.2">
      <c r="A31" s="2"/>
      <c r="B31" s="2"/>
      <c r="C31" s="2"/>
      <c r="D31" s="2"/>
      <c r="E31" s="2"/>
      <c r="F31" s="2"/>
      <c r="G31" s="2"/>
      <c r="H31" s="2"/>
      <c r="I31" s="2"/>
      <c r="J31" s="2"/>
      <c r="K31" s="2"/>
      <c r="L31" s="2"/>
      <c r="M31" s="2"/>
      <c r="N31" s="2"/>
      <c r="O31" s="2"/>
      <c r="P31" s="2"/>
      <c r="Q31" s="2"/>
      <c r="R31" s="2"/>
      <c r="S31" s="2"/>
      <c r="T31" s="2"/>
      <c r="U31" s="2"/>
      <c r="V31" s="2"/>
      <c r="W31" s="2"/>
      <c r="X31" s="2"/>
      <c r="Y31" s="2"/>
      <c r="Z31" s="2"/>
      <c r="AA31" s="2"/>
    </row>
    <row r="32" spans="1:27" hidden="1" x14ac:dyDescent="0.2">
      <c r="A32" s="2"/>
      <c r="B32" s="2"/>
      <c r="C32" s="2"/>
      <c r="D32" s="2"/>
      <c r="E32" s="2"/>
      <c r="F32" s="2"/>
      <c r="G32" s="2"/>
      <c r="H32" s="2"/>
      <c r="I32" s="2"/>
      <c r="J32" s="2"/>
      <c r="K32" s="2"/>
      <c r="L32" s="2"/>
      <c r="M32" s="2"/>
      <c r="N32" s="2"/>
      <c r="O32" s="2"/>
      <c r="P32" s="2"/>
      <c r="Q32" s="2"/>
      <c r="R32" s="2"/>
      <c r="S32" s="2"/>
      <c r="T32" s="2"/>
      <c r="U32" s="2"/>
      <c r="V32" s="2"/>
      <c r="W32" s="2"/>
      <c r="X32" s="2"/>
      <c r="Y32" s="2"/>
      <c r="Z32" s="2"/>
      <c r="AA32" s="2"/>
    </row>
    <row r="33" spans="1:27" ht="23.45" hidden="1" customHeight="1" x14ac:dyDescent="0.25">
      <c r="A33" s="266" t="s">
        <v>403</v>
      </c>
      <c r="B33" s="2"/>
      <c r="C33" s="2"/>
      <c r="D33" s="2"/>
      <c r="E33" s="2"/>
      <c r="F33" s="2"/>
      <c r="G33" s="2"/>
      <c r="H33" s="2"/>
      <c r="I33" s="2"/>
      <c r="J33" s="2"/>
      <c r="K33" s="2"/>
      <c r="L33" s="2"/>
      <c r="M33" s="2"/>
      <c r="N33" s="2"/>
      <c r="O33" s="2"/>
      <c r="P33" s="2"/>
      <c r="Q33" s="2"/>
      <c r="R33" s="2"/>
      <c r="S33" s="2"/>
      <c r="T33" s="2"/>
      <c r="U33" s="2"/>
      <c r="V33" s="2"/>
      <c r="W33" s="2"/>
      <c r="X33" s="2"/>
      <c r="Y33" s="2"/>
      <c r="Z33" s="2"/>
      <c r="AA33" s="2"/>
    </row>
    <row r="34" spans="1:27" ht="12" hidden="1" customHeight="1" x14ac:dyDescent="0.2">
      <c r="A34" s="2"/>
      <c r="B34" s="2"/>
      <c r="C34" s="2"/>
      <c r="D34" s="2"/>
      <c r="E34" s="2"/>
      <c r="F34" s="2"/>
      <c r="G34" s="2"/>
      <c r="H34" s="2"/>
      <c r="I34" s="2"/>
      <c r="J34" s="2"/>
      <c r="K34" s="2"/>
      <c r="L34" s="2"/>
      <c r="M34" s="2"/>
      <c r="N34" s="2"/>
      <c r="O34" s="2"/>
      <c r="P34" s="2"/>
      <c r="Q34" s="2"/>
      <c r="R34" s="2"/>
      <c r="S34" s="2"/>
      <c r="T34" s="2"/>
      <c r="U34" s="2"/>
      <c r="V34" s="2"/>
      <c r="W34" s="2"/>
      <c r="X34" s="2"/>
      <c r="Y34" s="2"/>
      <c r="Z34" s="2"/>
      <c r="AA34" s="2"/>
    </row>
    <row r="35" spans="1:27" hidden="1" x14ac:dyDescent="0.2">
      <c r="A35" s="2"/>
      <c r="B35" s="253" t="s">
        <v>404</v>
      </c>
      <c r="C35" s="253" t="s">
        <v>405</v>
      </c>
      <c r="D35" s="253" t="s">
        <v>406</v>
      </c>
      <c r="E35" s="2"/>
      <c r="F35" s="2"/>
      <c r="G35" s="2"/>
      <c r="H35" s="2"/>
      <c r="I35" s="2"/>
      <c r="J35" s="2"/>
      <c r="K35" s="2"/>
      <c r="L35" s="2"/>
      <c r="M35" s="2"/>
      <c r="N35" s="2"/>
      <c r="O35" s="2"/>
      <c r="P35" s="2"/>
      <c r="Q35" s="2"/>
      <c r="R35" s="2"/>
      <c r="S35" s="2"/>
      <c r="T35" s="2"/>
      <c r="U35" s="2"/>
      <c r="V35" s="2"/>
      <c r="W35" s="2"/>
      <c r="X35" s="2"/>
      <c r="Y35" s="2"/>
      <c r="Z35" s="2"/>
      <c r="AA35" s="2"/>
    </row>
    <row r="36" spans="1:27" ht="38.25" hidden="1" x14ac:dyDescent="0.2">
      <c r="A36" s="646" t="s">
        <v>137</v>
      </c>
      <c r="B36" s="502" t="s">
        <v>138</v>
      </c>
      <c r="C36" s="649" t="s">
        <v>104</v>
      </c>
      <c r="D36" s="649" t="s">
        <v>104</v>
      </c>
      <c r="E36" s="2"/>
      <c r="F36" s="2"/>
      <c r="G36" s="2"/>
      <c r="H36" s="2"/>
      <c r="I36" s="2"/>
      <c r="J36" s="2"/>
      <c r="K36" s="2"/>
      <c r="L36" s="2"/>
      <c r="M36" s="2"/>
      <c r="N36" s="2"/>
      <c r="O36" s="2"/>
      <c r="P36" s="2"/>
      <c r="Q36" s="2"/>
      <c r="R36" s="2"/>
      <c r="S36" s="2"/>
      <c r="T36" s="2"/>
      <c r="U36" s="2"/>
      <c r="V36" s="2"/>
      <c r="W36" s="2"/>
      <c r="X36" s="2"/>
      <c r="Y36" s="2"/>
      <c r="Z36" s="2"/>
      <c r="AA36" s="2"/>
    </row>
    <row r="37" spans="1:27" ht="76.5" hidden="1" x14ac:dyDescent="0.2">
      <c r="A37" s="648"/>
      <c r="B37" s="503" t="s">
        <v>407</v>
      </c>
      <c r="C37" s="650"/>
      <c r="D37" s="650"/>
      <c r="E37" s="2"/>
      <c r="F37" s="2"/>
      <c r="G37" s="2"/>
      <c r="H37" s="2"/>
      <c r="I37" s="2"/>
      <c r="J37" s="2"/>
      <c r="K37" s="2"/>
      <c r="L37" s="2"/>
      <c r="M37" s="2"/>
      <c r="N37" s="2"/>
      <c r="O37" s="2"/>
      <c r="P37" s="2"/>
      <c r="Q37" s="2"/>
      <c r="R37" s="2"/>
      <c r="S37" s="2"/>
      <c r="T37" s="2"/>
      <c r="U37" s="2"/>
      <c r="V37" s="2"/>
      <c r="W37" s="2"/>
      <c r="X37" s="2"/>
      <c r="Y37" s="2"/>
      <c r="Z37" s="2"/>
      <c r="AA37" s="2"/>
    </row>
    <row r="38" spans="1:27" hidden="1" x14ac:dyDescent="0.2">
      <c r="A38" s="646" t="s">
        <v>408</v>
      </c>
      <c r="B38" s="502" t="s">
        <v>141</v>
      </c>
      <c r="C38" s="502" t="s">
        <v>142</v>
      </c>
      <c r="D38" s="502" t="s">
        <v>143</v>
      </c>
      <c r="E38" s="2"/>
      <c r="F38" s="2"/>
      <c r="G38" s="2"/>
      <c r="H38" s="2"/>
      <c r="I38" s="2"/>
      <c r="J38" s="2"/>
      <c r="K38" s="2"/>
      <c r="L38" s="2"/>
      <c r="M38" s="2"/>
      <c r="N38" s="2"/>
      <c r="O38" s="2"/>
      <c r="P38" s="2"/>
      <c r="Q38" s="2"/>
      <c r="R38" s="2"/>
      <c r="S38" s="2"/>
      <c r="T38" s="2"/>
      <c r="U38" s="2"/>
      <c r="V38" s="2"/>
      <c r="W38" s="2"/>
      <c r="X38" s="2"/>
      <c r="Y38" s="2"/>
      <c r="Z38" s="2"/>
      <c r="AA38" s="2"/>
    </row>
    <row r="39" spans="1:27" ht="25.5" hidden="1" x14ac:dyDescent="0.2">
      <c r="A39" s="647"/>
      <c r="B39" s="268" t="s">
        <v>144</v>
      </c>
      <c r="C39" s="268" t="s">
        <v>145</v>
      </c>
      <c r="D39" s="268" t="s">
        <v>146</v>
      </c>
      <c r="E39" s="2"/>
      <c r="F39" s="2"/>
      <c r="G39" s="2"/>
      <c r="H39" s="2"/>
      <c r="I39" s="2"/>
      <c r="J39" s="2"/>
      <c r="K39" s="2"/>
      <c r="L39" s="2"/>
      <c r="M39" s="2"/>
      <c r="N39" s="2"/>
      <c r="O39" s="2"/>
      <c r="P39" s="2"/>
      <c r="Q39" s="2"/>
      <c r="R39" s="2"/>
      <c r="S39" s="2"/>
      <c r="T39" s="2"/>
      <c r="U39" s="2"/>
      <c r="V39" s="2"/>
      <c r="W39" s="2"/>
      <c r="X39" s="2"/>
      <c r="Y39" s="2"/>
      <c r="Z39" s="2"/>
      <c r="AA39" s="2"/>
    </row>
    <row r="40" spans="1:27" ht="38.25" hidden="1" x14ac:dyDescent="0.2">
      <c r="A40" s="648"/>
      <c r="B40" s="269" t="s">
        <v>409</v>
      </c>
      <c r="C40" s="270" t="s">
        <v>148</v>
      </c>
      <c r="D40" s="503"/>
      <c r="E40" s="2"/>
      <c r="F40" s="2"/>
      <c r="G40" s="2"/>
      <c r="H40" s="2"/>
      <c r="I40" s="2"/>
      <c r="J40" s="2"/>
      <c r="K40" s="2"/>
      <c r="L40" s="2"/>
      <c r="M40" s="2"/>
      <c r="N40" s="2"/>
      <c r="O40" s="2"/>
      <c r="P40" s="2"/>
      <c r="Q40" s="2"/>
      <c r="R40" s="2"/>
      <c r="S40" s="2"/>
      <c r="T40" s="2"/>
      <c r="U40" s="2"/>
      <c r="V40" s="2"/>
      <c r="W40" s="2"/>
      <c r="X40" s="2"/>
      <c r="Y40" s="2"/>
      <c r="Z40" s="2"/>
      <c r="AA40" s="2"/>
    </row>
    <row r="41" spans="1:27" ht="38.25" hidden="1" x14ac:dyDescent="0.2">
      <c r="A41" s="267" t="s">
        <v>149</v>
      </c>
      <c r="B41" s="271" t="s">
        <v>150</v>
      </c>
      <c r="C41" s="271" t="s">
        <v>151</v>
      </c>
      <c r="D41" s="271" t="s">
        <v>152</v>
      </c>
      <c r="E41" s="2"/>
      <c r="F41" s="2"/>
      <c r="G41" s="2"/>
      <c r="H41" s="2"/>
      <c r="I41" s="2"/>
      <c r="J41" s="2"/>
      <c r="K41" s="2"/>
      <c r="L41" s="2"/>
      <c r="M41" s="2"/>
      <c r="N41" s="2"/>
      <c r="O41" s="2"/>
      <c r="P41" s="2"/>
      <c r="Q41" s="2"/>
      <c r="R41" s="2"/>
      <c r="S41" s="2"/>
      <c r="T41" s="2"/>
      <c r="U41" s="2"/>
      <c r="V41" s="2"/>
      <c r="W41" s="2"/>
      <c r="X41" s="2"/>
      <c r="Y41" s="2"/>
      <c r="Z41" s="2"/>
      <c r="AA41" s="2"/>
    </row>
    <row r="42" spans="1:27" hidden="1" x14ac:dyDescent="0.2">
      <c r="A42" s="2"/>
      <c r="B42" s="2"/>
      <c r="C42" s="2"/>
      <c r="D42" s="2"/>
      <c r="E42" s="2"/>
      <c r="F42" s="2"/>
      <c r="G42" s="2"/>
      <c r="H42" s="2"/>
      <c r="I42" s="2"/>
      <c r="J42" s="2"/>
      <c r="K42" s="2"/>
      <c r="L42" s="2"/>
      <c r="M42" s="2"/>
      <c r="N42" s="2"/>
      <c r="O42" s="2"/>
      <c r="P42" s="2"/>
      <c r="Q42" s="2"/>
      <c r="R42" s="2"/>
      <c r="S42" s="2"/>
      <c r="T42" s="2"/>
      <c r="U42" s="2"/>
      <c r="V42" s="2"/>
      <c r="W42" s="2"/>
      <c r="X42" s="2"/>
      <c r="Y42" s="2"/>
      <c r="Z42" s="2"/>
      <c r="AA42" s="2"/>
    </row>
    <row r="43" spans="1:27" hidden="1" x14ac:dyDescent="0.2">
      <c r="A43" s="2"/>
      <c r="B43" s="262" t="s">
        <v>410</v>
      </c>
      <c r="C43" s="2"/>
      <c r="D43" s="2"/>
      <c r="E43" s="2"/>
      <c r="F43" s="2"/>
      <c r="G43" s="2"/>
      <c r="H43" s="2"/>
      <c r="I43" s="2"/>
      <c r="J43" s="2"/>
      <c r="K43" s="2"/>
      <c r="L43" s="2"/>
      <c r="M43" s="2"/>
      <c r="N43" s="2"/>
      <c r="O43" s="2"/>
      <c r="P43" s="2"/>
      <c r="Q43" s="2"/>
      <c r="R43" s="2"/>
      <c r="S43" s="2"/>
      <c r="T43" s="2"/>
      <c r="U43" s="2"/>
      <c r="V43" s="2"/>
      <c r="W43" s="2"/>
      <c r="X43" s="2"/>
      <c r="Y43" s="2"/>
      <c r="Z43" s="2"/>
      <c r="AA43" s="2"/>
    </row>
    <row r="44" spans="1:27" hidden="1" x14ac:dyDescent="0.2">
      <c r="A44" s="2"/>
      <c r="B44" s="2"/>
      <c r="C44" s="2"/>
      <c r="D44" s="2"/>
      <c r="E44" s="2"/>
      <c r="F44" s="2"/>
      <c r="G44" s="2"/>
      <c r="H44" s="2"/>
      <c r="I44" s="2"/>
      <c r="J44" s="2"/>
      <c r="K44" s="2"/>
      <c r="L44" s="2"/>
      <c r="M44" s="2"/>
      <c r="N44" s="2"/>
      <c r="O44" s="2"/>
      <c r="P44" s="2"/>
      <c r="Q44" s="2"/>
      <c r="R44" s="2"/>
      <c r="S44" s="2"/>
      <c r="T44" s="2"/>
      <c r="U44" s="2"/>
      <c r="V44" s="2"/>
      <c r="W44" s="2"/>
      <c r="X44" s="2"/>
      <c r="Y44" s="2"/>
      <c r="Z44" s="2"/>
      <c r="AA44" s="2"/>
    </row>
    <row r="45" spans="1:27" hidden="1" x14ac:dyDescent="0.2">
      <c r="A45" s="2"/>
      <c r="B45" s="2"/>
      <c r="C45" s="2"/>
      <c r="D45" s="2"/>
      <c r="E45" s="2"/>
      <c r="F45" s="2"/>
      <c r="G45" s="2"/>
      <c r="H45" s="2"/>
      <c r="I45" s="2"/>
      <c r="J45" s="2"/>
      <c r="K45" s="2"/>
      <c r="L45" s="2"/>
      <c r="M45" s="2"/>
      <c r="N45" s="2"/>
      <c r="O45" s="2"/>
      <c r="P45" s="2"/>
      <c r="Q45" s="2"/>
      <c r="R45" s="2"/>
      <c r="S45" s="2"/>
      <c r="T45" s="2"/>
      <c r="U45" s="2"/>
      <c r="V45" s="2"/>
      <c r="W45" s="2"/>
      <c r="X45" s="2"/>
      <c r="Y45" s="2"/>
      <c r="Z45" s="2"/>
      <c r="AA45" s="2"/>
    </row>
    <row r="46" spans="1:27" hidden="1" x14ac:dyDescent="0.2">
      <c r="A46" s="2"/>
      <c r="B46" s="2"/>
      <c r="C46" s="2"/>
      <c r="D46" s="2"/>
      <c r="E46" s="2"/>
      <c r="F46" s="2"/>
      <c r="G46" s="2"/>
      <c r="H46" s="2"/>
      <c r="I46" s="2"/>
      <c r="J46" s="2"/>
      <c r="K46" s="2"/>
      <c r="L46" s="2"/>
      <c r="M46" s="2"/>
      <c r="N46" s="2"/>
      <c r="O46" s="2"/>
      <c r="P46" s="2"/>
      <c r="Q46" s="2"/>
      <c r="R46" s="2"/>
      <c r="S46" s="2"/>
      <c r="T46" s="2"/>
      <c r="U46" s="2"/>
      <c r="V46" s="2"/>
      <c r="W46" s="2"/>
      <c r="X46" s="2"/>
      <c r="Y46" s="2"/>
      <c r="Z46" s="2"/>
      <c r="AA46" s="2"/>
    </row>
    <row r="47" spans="1:27" hidden="1" x14ac:dyDescent="0.2">
      <c r="A47" s="2"/>
      <c r="B47" s="2"/>
      <c r="C47" s="2"/>
      <c r="D47" s="2"/>
      <c r="E47" s="2"/>
      <c r="F47" s="2"/>
      <c r="G47" s="2"/>
      <c r="H47" s="2"/>
      <c r="I47" s="2"/>
      <c r="J47" s="2"/>
      <c r="K47" s="2"/>
      <c r="L47" s="2"/>
      <c r="M47" s="2"/>
      <c r="N47" s="2"/>
      <c r="O47" s="2"/>
      <c r="P47" s="2"/>
      <c r="Q47" s="2"/>
      <c r="R47" s="2"/>
      <c r="S47" s="2"/>
      <c r="T47" s="2"/>
      <c r="U47" s="2"/>
      <c r="V47" s="2"/>
      <c r="W47" s="2"/>
      <c r="X47" s="2"/>
      <c r="Y47" s="2"/>
      <c r="Z47" s="2"/>
      <c r="AA47" s="2"/>
    </row>
    <row r="48" spans="1:27" hidden="1" x14ac:dyDescent="0.2">
      <c r="A48" s="2" t="s">
        <v>411</v>
      </c>
      <c r="B48" s="2"/>
      <c r="C48" s="2"/>
      <c r="D48" s="2"/>
      <c r="E48" s="2"/>
      <c r="F48" s="2"/>
      <c r="G48" s="2"/>
      <c r="H48" s="2"/>
      <c r="I48" s="2"/>
      <c r="J48" s="2"/>
      <c r="K48" s="2"/>
      <c r="L48" s="2"/>
      <c r="M48" s="2"/>
      <c r="N48" s="2"/>
      <c r="O48" s="2"/>
      <c r="P48" s="2"/>
      <c r="Q48" s="2"/>
      <c r="R48" s="2"/>
      <c r="S48" s="2"/>
      <c r="T48" s="2"/>
      <c r="U48" s="2"/>
      <c r="V48" s="2"/>
      <c r="W48" s="2"/>
      <c r="X48" s="2"/>
      <c r="Y48" s="2"/>
      <c r="Z48" s="2"/>
      <c r="AA48" s="2"/>
    </row>
    <row r="49" spans="1:27" ht="15" hidden="1" x14ac:dyDescent="0.25">
      <c r="A49" s="223" t="s">
        <v>412</v>
      </c>
      <c r="B49" s="2"/>
      <c r="C49" s="2"/>
      <c r="D49" s="2"/>
      <c r="E49" s="2"/>
      <c r="F49" s="2"/>
      <c r="G49" s="2"/>
      <c r="H49" s="2"/>
      <c r="I49" s="2"/>
      <c r="J49" s="2"/>
      <c r="K49" s="2"/>
      <c r="L49" s="2"/>
      <c r="M49" s="2"/>
      <c r="N49" s="2"/>
      <c r="O49" s="2"/>
      <c r="P49" s="2"/>
      <c r="Q49" s="2"/>
      <c r="R49" s="2"/>
      <c r="S49" s="2"/>
      <c r="T49" s="2"/>
      <c r="U49" s="2"/>
      <c r="V49" s="2"/>
      <c r="W49" s="2"/>
      <c r="X49" s="2"/>
      <c r="Y49" s="2"/>
      <c r="Z49" s="2"/>
      <c r="AA49" s="2"/>
    </row>
    <row r="50" spans="1:27" hidden="1" x14ac:dyDescent="0.2">
      <c r="A50" s="2"/>
      <c r="B50" s="2"/>
      <c r="C50" s="2"/>
      <c r="D50" s="2"/>
      <c r="E50" s="2"/>
      <c r="F50" s="2"/>
      <c r="G50" s="2"/>
      <c r="H50" s="2"/>
      <c r="I50" s="2"/>
      <c r="J50" s="2"/>
      <c r="K50" s="2"/>
      <c r="L50" s="2"/>
      <c r="M50" s="2"/>
      <c r="N50" s="2"/>
      <c r="O50" s="2"/>
      <c r="P50" s="2"/>
      <c r="Q50" s="2"/>
      <c r="R50" s="2"/>
      <c r="S50" s="2"/>
      <c r="T50" s="2"/>
      <c r="U50" s="2"/>
      <c r="V50" s="2"/>
      <c r="W50" s="2"/>
      <c r="X50" s="2"/>
      <c r="Y50" s="2"/>
      <c r="Z50" s="2"/>
      <c r="AA50" s="2"/>
    </row>
  </sheetData>
  <mergeCells count="6">
    <mergeCell ref="A1:K1"/>
    <mergeCell ref="A38:A40"/>
    <mergeCell ref="A24:E24"/>
    <mergeCell ref="A36:A37"/>
    <mergeCell ref="C36:C37"/>
    <mergeCell ref="D36:D37"/>
  </mergeCells>
  <phoneticPr fontId="7" type="noConversion"/>
  <hyperlinks>
    <hyperlink ref="A49" r:id="rId1" xr:uid="{052A915C-F251-4837-A3DB-512A515DC943}"/>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93AA08-0AC5-4FCC-829D-381EF7CA031C}">
  <sheetPr codeName="Sheet10"/>
  <dimension ref="A1:AL47"/>
  <sheetViews>
    <sheetView zoomScaleNormal="100" workbookViewId="0">
      <selection sqref="A1:G1"/>
    </sheetView>
  </sheetViews>
  <sheetFormatPr defaultColWidth="8.7109375" defaultRowHeight="12.75" x14ac:dyDescent="0.2"/>
  <cols>
    <col min="1" max="1" width="28" style="4" customWidth="1"/>
    <col min="2" max="2" width="22.5703125" style="4" customWidth="1"/>
    <col min="3" max="3" width="23.28515625" style="4" customWidth="1"/>
    <col min="4" max="4" width="30.7109375" style="4" bestFit="1" customWidth="1"/>
    <col min="5" max="5" width="29.28515625" style="4" customWidth="1"/>
    <col min="6" max="6" width="22.7109375" style="4" customWidth="1"/>
    <col min="7" max="7" width="23.28515625" style="4" customWidth="1"/>
    <col min="8" max="8" width="6.28515625" style="4" customWidth="1"/>
    <col min="9" max="9" width="44.85546875" style="4" customWidth="1"/>
    <col min="10" max="10" width="26.28515625" style="4" customWidth="1"/>
    <col min="11" max="12" width="15.28515625" style="4" customWidth="1"/>
    <col min="13" max="13" width="12.28515625" style="4" customWidth="1"/>
    <col min="14" max="14" width="13.28515625" style="4" customWidth="1"/>
    <col min="15" max="15" width="15.28515625" style="4" customWidth="1"/>
    <col min="16" max="16" width="11" style="4" customWidth="1"/>
    <col min="17" max="20" width="15.28515625" style="4" customWidth="1"/>
    <col min="21" max="21" width="7.7109375" style="4" hidden="1" customWidth="1"/>
    <col min="22" max="22" width="12.42578125" style="4" hidden="1" customWidth="1"/>
    <col min="23" max="38" width="6.5703125" style="4" hidden="1" customWidth="1"/>
    <col min="39" max="39" width="15.28515625" style="4" customWidth="1"/>
    <col min="40" max="40" width="11.28515625" style="4" customWidth="1"/>
    <col min="41" max="41" width="6.28515625" style="4" customWidth="1"/>
    <col min="42" max="45" width="4.7109375" style="4" customWidth="1"/>
    <col min="46" max="46" width="6.28515625" style="4" customWidth="1"/>
    <col min="47" max="61" width="4.7109375" style="4" customWidth="1"/>
    <col min="62" max="16384" width="8.7109375" style="4"/>
  </cols>
  <sheetData>
    <row r="1" spans="1:11" ht="24" customHeight="1" x14ac:dyDescent="0.2">
      <c r="A1" s="653" t="str">
        <f>"Water Heater - "&amp;Prototype!A2</f>
        <v>Water Heater - Warehouse</v>
      </c>
      <c r="B1" s="654"/>
      <c r="C1" s="654"/>
      <c r="D1" s="654"/>
      <c r="E1" s="654"/>
      <c r="F1" s="654"/>
      <c r="G1" s="654"/>
    </row>
    <row r="2" spans="1:11" ht="27" customHeight="1" x14ac:dyDescent="0.2">
      <c r="A2" s="504" t="s">
        <v>181</v>
      </c>
      <c r="B2" s="504" t="s">
        <v>413</v>
      </c>
      <c r="C2" s="504" t="s">
        <v>414</v>
      </c>
      <c r="D2" s="504" t="s">
        <v>415</v>
      </c>
      <c r="E2" s="504" t="s">
        <v>416</v>
      </c>
      <c r="F2" s="467" t="s">
        <v>417</v>
      </c>
      <c r="G2" s="468" t="s">
        <v>238</v>
      </c>
    </row>
    <row r="3" spans="1:11" ht="25.15" customHeight="1" x14ac:dyDescent="0.2">
      <c r="A3" s="506" t="s">
        <v>287</v>
      </c>
      <c r="B3" s="506" t="s">
        <v>418</v>
      </c>
      <c r="C3" s="506">
        <v>1</v>
      </c>
      <c r="D3" s="324">
        <f>F16</f>
        <v>50</v>
      </c>
      <c r="E3" s="466">
        <f>G19</f>
        <v>0.84000000000000008</v>
      </c>
      <c r="F3" s="465" t="str">
        <f>H19</f>
        <v>%/hr</v>
      </c>
      <c r="G3" s="469" t="s">
        <v>419</v>
      </c>
    </row>
    <row r="4" spans="1:11" ht="24" customHeight="1" x14ac:dyDescent="0.2">
      <c r="A4" s="506" t="s">
        <v>298</v>
      </c>
      <c r="B4" s="506" t="s">
        <v>418</v>
      </c>
      <c r="C4" s="506">
        <v>1</v>
      </c>
      <c r="D4" s="317">
        <f>F16</f>
        <v>50</v>
      </c>
      <c r="E4" s="466">
        <f>G16</f>
        <v>0.84000000000000008</v>
      </c>
      <c r="F4" s="465" t="str">
        <f>H16</f>
        <v>%/hr</v>
      </c>
      <c r="G4" s="465"/>
    </row>
    <row r="5" spans="1:11" ht="14.65" customHeight="1" x14ac:dyDescent="0.2">
      <c r="A5" s="7"/>
      <c r="B5" s="7"/>
      <c r="C5" s="7"/>
      <c r="D5" s="7"/>
      <c r="E5" s="7"/>
    </row>
    <row r="6" spans="1:11" ht="14.65" customHeight="1" x14ac:dyDescent="0.2"/>
    <row r="7" spans="1:11" ht="15.75" x14ac:dyDescent="0.2">
      <c r="A7" s="578" t="s">
        <v>420</v>
      </c>
      <c r="B7" s="578"/>
      <c r="C7" s="578"/>
      <c r="D7" s="578"/>
      <c r="E7" s="578"/>
      <c r="F7" s="578"/>
      <c r="G7" s="578"/>
    </row>
    <row r="8" spans="1:11" ht="65.45" customHeight="1" x14ac:dyDescent="0.2">
      <c r="A8" s="504" t="s">
        <v>421</v>
      </c>
      <c r="B8" s="504" t="s">
        <v>422</v>
      </c>
      <c r="C8" s="504" t="s">
        <v>423</v>
      </c>
      <c r="D8" s="504" t="s">
        <v>162</v>
      </c>
      <c r="E8" s="504" t="s">
        <v>424</v>
      </c>
      <c r="F8" s="504" t="s">
        <v>425</v>
      </c>
      <c r="G8" s="504" t="s">
        <v>426</v>
      </c>
    </row>
    <row r="9" spans="1:11" ht="18" customHeight="1" x14ac:dyDescent="0.2">
      <c r="A9" s="318" t="str">
        <f>Zones!A3</f>
        <v>Office</v>
      </c>
      <c r="B9" s="348" t="s">
        <v>427</v>
      </c>
      <c r="C9" s="319">
        <f>Zones!G3</f>
        <v>2549.75</v>
      </c>
      <c r="D9" s="120">
        <f>Zones!J3</f>
        <v>12.748749999999999</v>
      </c>
      <c r="E9" s="320">
        <v>0.18</v>
      </c>
      <c r="F9" s="321">
        <f t="shared" ref="F9:F11" si="0">D9*E9</f>
        <v>2.294775</v>
      </c>
      <c r="G9" s="322">
        <f>F9/60</f>
        <v>3.8246250000000002E-2</v>
      </c>
    </row>
    <row r="10" spans="1:11" ht="18" customHeight="1" x14ac:dyDescent="0.2">
      <c r="A10" s="318" t="str">
        <f>Zones!A4</f>
        <v>FineStorage</v>
      </c>
      <c r="B10" s="348" t="s">
        <v>427</v>
      </c>
      <c r="C10" s="319">
        <f>Zones!G4</f>
        <v>14998.55</v>
      </c>
      <c r="D10" s="120">
        <f>Zones!J4</f>
        <v>14.99855</v>
      </c>
      <c r="E10" s="320">
        <v>0.18</v>
      </c>
      <c r="F10" s="323">
        <f t="shared" si="0"/>
        <v>2.6997389999999997</v>
      </c>
      <c r="G10" s="322">
        <f t="shared" ref="G10:G11" si="1">F10/60</f>
        <v>4.4995649999999991E-2</v>
      </c>
    </row>
    <row r="11" spans="1:11" ht="18" customHeight="1" x14ac:dyDescent="0.2">
      <c r="A11" s="318" t="str">
        <f>Zones!A5</f>
        <v>BulkStorage</v>
      </c>
      <c r="B11" s="348" t="s">
        <v>427</v>
      </c>
      <c r="C11" s="319">
        <f>Zones!G5</f>
        <v>34496.730000000003</v>
      </c>
      <c r="D11" s="120">
        <f>Zones!J5</f>
        <v>34.496730000000007</v>
      </c>
      <c r="E11" s="320">
        <v>0.18</v>
      </c>
      <c r="F11" s="323">
        <f t="shared" si="0"/>
        <v>6.2094114000000014</v>
      </c>
      <c r="G11" s="322">
        <f t="shared" si="1"/>
        <v>0.10349019000000002</v>
      </c>
    </row>
    <row r="12" spans="1:11" ht="13.9" customHeight="1" x14ac:dyDescent="0.2"/>
    <row r="13" spans="1:11" ht="13.9" customHeight="1" x14ac:dyDescent="0.2"/>
    <row r="14" spans="1:11" ht="15.6" customHeight="1" x14ac:dyDescent="0.2">
      <c r="A14" s="578" t="s">
        <v>428</v>
      </c>
      <c r="B14" s="578"/>
      <c r="C14" s="578"/>
      <c r="D14" s="578"/>
      <c r="E14" s="578"/>
      <c r="F14" s="578"/>
      <c r="G14" s="578"/>
      <c r="H14" s="578"/>
      <c r="I14" s="578"/>
      <c r="J14" s="578"/>
    </row>
    <row r="15" spans="1:11" ht="38.25" x14ac:dyDescent="0.2">
      <c r="A15" s="504" t="s">
        <v>413</v>
      </c>
      <c r="B15" s="504" t="s">
        <v>425</v>
      </c>
      <c r="C15" s="504" t="s">
        <v>429</v>
      </c>
      <c r="D15" s="504" t="s">
        <v>430</v>
      </c>
      <c r="E15" s="504" t="s">
        <v>431</v>
      </c>
      <c r="F15" s="504" t="s">
        <v>432</v>
      </c>
      <c r="G15" s="651" t="s">
        <v>433</v>
      </c>
      <c r="H15" s="651"/>
      <c r="I15" s="511" t="s">
        <v>434</v>
      </c>
      <c r="J15" s="325" t="s">
        <v>238</v>
      </c>
      <c r="K15" s="121"/>
    </row>
    <row r="16" spans="1:11" ht="52.9" customHeight="1" x14ac:dyDescent="0.2">
      <c r="A16" s="506" t="s">
        <v>418</v>
      </c>
      <c r="B16" s="326">
        <f>MAX(125,SUM(F9:F11))</f>
        <v>125</v>
      </c>
      <c r="C16" s="327">
        <f>B16*($B$19-B20)*8.2877*1</f>
        <v>82876.999999999985</v>
      </c>
      <c r="D16" s="327">
        <f>C16*B21</f>
        <v>49726.19999999999</v>
      </c>
      <c r="E16" s="312">
        <f>D16/C3</f>
        <v>49726.19999999999</v>
      </c>
      <c r="F16" s="328">
        <f>ROUNDUP(MAX(B16*1*B22,SUM(F9:F11)),0)</f>
        <v>50</v>
      </c>
      <c r="G16" s="329">
        <f>0.3+(27/F16)</f>
        <v>0.84000000000000008</v>
      </c>
      <c r="H16" s="330" t="s">
        <v>435</v>
      </c>
      <c r="I16" s="380">
        <f>0.0834*G16*F16</f>
        <v>3.5028000000000006</v>
      </c>
      <c r="J16" s="655" t="s">
        <v>436</v>
      </c>
    </row>
    <row r="17" spans="1:11" ht="52.9" customHeight="1" x14ac:dyDescent="0.2">
      <c r="A17" s="506" t="s">
        <v>437</v>
      </c>
      <c r="B17" s="326">
        <f>B16</f>
        <v>125</v>
      </c>
      <c r="C17" s="326">
        <f>C16</f>
        <v>82876.999999999985</v>
      </c>
      <c r="D17" s="326">
        <f>D16</f>
        <v>49726.19999999999</v>
      </c>
      <c r="E17" s="326">
        <f>E16</f>
        <v>49726.19999999999</v>
      </c>
      <c r="F17" s="326">
        <f>F16</f>
        <v>50</v>
      </c>
      <c r="G17" s="329"/>
      <c r="H17" s="330"/>
      <c r="I17" s="381"/>
      <c r="J17" s="656"/>
    </row>
    <row r="18" spans="1:11" x14ac:dyDescent="0.2">
      <c r="A18" s="122"/>
      <c r="B18" s="123"/>
      <c r="E18" s="124"/>
      <c r="F18" s="123"/>
      <c r="I18" s="74"/>
      <c r="J18" s="374"/>
      <c r="K18" s="126"/>
    </row>
    <row r="19" spans="1:11" x14ac:dyDescent="0.2">
      <c r="A19" s="4" t="s">
        <v>438</v>
      </c>
      <c r="B19" s="374">
        <v>135</v>
      </c>
      <c r="C19" s="4" t="s">
        <v>439</v>
      </c>
      <c r="E19" s="124"/>
      <c r="F19" s="383" t="s">
        <v>440</v>
      </c>
      <c r="G19" s="382">
        <f>0.3+(27/F17)</f>
        <v>0.84000000000000008</v>
      </c>
      <c r="H19" s="74" t="s">
        <v>435</v>
      </c>
      <c r="I19" s="381">
        <f>0.0834*G19*F17</f>
        <v>3.5028000000000006</v>
      </c>
    </row>
    <row r="20" spans="1:11" x14ac:dyDescent="0.2">
      <c r="A20" s="4" t="s">
        <v>441</v>
      </c>
      <c r="B20" s="374">
        <v>55</v>
      </c>
      <c r="C20" s="4" t="s">
        <v>442</v>
      </c>
      <c r="E20" s="124"/>
      <c r="F20" s="123"/>
      <c r="I20" s="374"/>
    </row>
    <row r="21" spans="1:11" ht="15" x14ac:dyDescent="0.25">
      <c r="A21" t="s">
        <v>443</v>
      </c>
      <c r="B21" s="374">
        <v>0.6</v>
      </c>
      <c r="C21" s="4" t="s">
        <v>442</v>
      </c>
      <c r="E21" s="124"/>
      <c r="F21" s="123"/>
      <c r="I21" s="374"/>
    </row>
    <row r="22" spans="1:11" x14ac:dyDescent="0.2">
      <c r="A22" s="4" t="s">
        <v>444</v>
      </c>
      <c r="B22" s="125">
        <v>0.4</v>
      </c>
      <c r="C22" s="4" t="s">
        <v>442</v>
      </c>
      <c r="E22" s="124"/>
      <c r="F22" s="123"/>
      <c r="I22" s="374"/>
    </row>
    <row r="23" spans="1:11" ht="25.9" customHeight="1" x14ac:dyDescent="0.2">
      <c r="A23" s="652" t="s">
        <v>445</v>
      </c>
      <c r="B23" s="652"/>
      <c r="C23" s="652"/>
      <c r="D23" s="652"/>
      <c r="E23" s="652"/>
      <c r="F23" s="652"/>
      <c r="G23" s="652"/>
      <c r="H23" s="652"/>
      <c r="I23" s="652"/>
    </row>
    <row r="24" spans="1:11" x14ac:dyDescent="0.2">
      <c r="A24" s="4" t="s">
        <v>446</v>
      </c>
      <c r="B24" s="345">
        <v>20</v>
      </c>
      <c r="E24" s="124"/>
      <c r="F24" s="123"/>
      <c r="I24" s="374"/>
    </row>
    <row r="25" spans="1:11" x14ac:dyDescent="0.2">
      <c r="A25" s="4" t="s">
        <v>447</v>
      </c>
      <c r="B25" s="9"/>
      <c r="C25" s="9"/>
      <c r="D25" s="9"/>
      <c r="E25" s="9"/>
      <c r="F25" s="9"/>
      <c r="G25" s="9"/>
      <c r="H25" s="9"/>
      <c r="I25" s="9"/>
    </row>
    <row r="26" spans="1:11" ht="12" customHeight="1" x14ac:dyDescent="0.2">
      <c r="A26" s="505"/>
      <c r="B26" s="505"/>
      <c r="C26" s="505"/>
      <c r="D26" s="505"/>
      <c r="E26" s="505"/>
      <c r="F26" s="505"/>
      <c r="G26" s="505"/>
      <c r="H26" s="505"/>
      <c r="I26" s="505"/>
    </row>
    <row r="27" spans="1:11" ht="12" customHeight="1" x14ac:dyDescent="0.2"/>
    <row r="28" spans="1:11" s="28" customFormat="1" ht="18" customHeight="1" x14ac:dyDescent="0.2">
      <c r="A28" s="28" t="s">
        <v>75</v>
      </c>
    </row>
    <row r="30" spans="1:11" x14ac:dyDescent="0.2">
      <c r="A30" s="9"/>
      <c r="B30" s="9"/>
      <c r="C30" s="9"/>
      <c r="D30" s="9"/>
      <c r="E30" s="9"/>
      <c r="F30" s="9"/>
      <c r="G30" s="9"/>
      <c r="H30" s="9"/>
      <c r="I30" s="9"/>
    </row>
    <row r="31" spans="1:11" x14ac:dyDescent="0.2">
      <c r="A31" s="9"/>
      <c r="B31" s="9"/>
      <c r="C31" s="9"/>
      <c r="D31" s="9"/>
      <c r="E31" s="9"/>
      <c r="F31" s="9"/>
      <c r="G31" s="9"/>
      <c r="H31" s="9"/>
      <c r="I31" s="9"/>
    </row>
    <row r="36" spans="1:1" x14ac:dyDescent="0.2">
      <c r="A36" s="5"/>
    </row>
    <row r="47" spans="1:1" x14ac:dyDescent="0.2">
      <c r="A47" s="173"/>
    </row>
  </sheetData>
  <mergeCells count="6">
    <mergeCell ref="A7:G7"/>
    <mergeCell ref="G15:H15"/>
    <mergeCell ref="A23:I23"/>
    <mergeCell ref="A14:J14"/>
    <mergeCell ref="A1:G1"/>
    <mergeCell ref="J16:J17"/>
  </mergeCell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519C81-B0B9-4AE9-9154-3628732CA590}">
  <sheetPr codeName="Sheet9"/>
  <dimension ref="A1:AE23"/>
  <sheetViews>
    <sheetView zoomScale="85" zoomScaleNormal="85" workbookViewId="0">
      <selection sqref="A1:G1"/>
    </sheetView>
  </sheetViews>
  <sheetFormatPr defaultColWidth="8.7109375" defaultRowHeight="12.75" x14ac:dyDescent="0.2"/>
  <cols>
    <col min="1" max="1" width="52.42578125" style="4" customWidth="1"/>
    <col min="2" max="6" width="32.140625" style="4" customWidth="1"/>
    <col min="7" max="7" width="52.85546875" style="4" customWidth="1"/>
    <col min="8" max="8" width="69" style="4" customWidth="1"/>
    <col min="9" max="9" width="64.42578125" style="4" customWidth="1"/>
    <col min="10" max="10" width="9.140625" style="4" customWidth="1"/>
    <col min="11" max="11" width="21.140625" style="4" customWidth="1"/>
    <col min="12" max="12" width="26" style="4" customWidth="1"/>
    <col min="13" max="13" width="10.5703125" style="4" bestFit="1" customWidth="1"/>
    <col min="14" max="14" width="16.28515625" style="4" customWidth="1"/>
    <col min="15" max="15" width="10.7109375" style="4" bestFit="1" customWidth="1"/>
    <col min="16" max="16" width="10.5703125" style="4" bestFit="1" customWidth="1"/>
    <col min="17" max="16384" width="8.7109375" style="4"/>
  </cols>
  <sheetData>
    <row r="1" spans="1:31" ht="23.45" customHeight="1" x14ac:dyDescent="0.25">
      <c r="A1" s="657" t="str">
        <f>"Equipment - "&amp;Prototype!A2</f>
        <v>Equipment - Warehouse</v>
      </c>
      <c r="B1" s="658"/>
      <c r="C1" s="658"/>
      <c r="D1" s="658"/>
      <c r="E1" s="658"/>
      <c r="F1" s="658"/>
      <c r="G1" s="659"/>
      <c r="L1" s="223"/>
    </row>
    <row r="2" spans="1:31" ht="21" customHeight="1" x14ac:dyDescent="0.2">
      <c r="A2" s="304" t="s">
        <v>154</v>
      </c>
      <c r="B2" s="304" t="s">
        <v>448</v>
      </c>
      <c r="C2" s="482" t="s">
        <v>449</v>
      </c>
      <c r="D2" s="482" t="s">
        <v>450</v>
      </c>
      <c r="E2" s="516"/>
      <c r="F2" s="516"/>
      <c r="G2" s="304" t="s">
        <v>238</v>
      </c>
      <c r="H2" s="507"/>
    </row>
    <row r="3" spans="1:31" ht="27" customHeight="1" x14ac:dyDescent="0.2">
      <c r="A3" s="514" t="s">
        <v>165</v>
      </c>
      <c r="B3" s="514">
        <v>0.7</v>
      </c>
      <c r="C3" s="514"/>
      <c r="D3" s="514"/>
      <c r="E3" s="514"/>
      <c r="F3" s="514"/>
      <c r="G3" s="506" t="s">
        <v>451</v>
      </c>
      <c r="H3" s="6"/>
      <c r="I3" s="6"/>
    </row>
    <row r="4" spans="1:31" ht="24.6" customHeight="1" x14ac:dyDescent="0.25">
      <c r="A4" s="514" t="s">
        <v>169</v>
      </c>
      <c r="B4" s="514">
        <v>0.2</v>
      </c>
      <c r="C4" s="514"/>
      <c r="D4" s="514"/>
      <c r="E4" s="514"/>
      <c r="F4" s="514"/>
      <c r="G4" s="506" t="s">
        <v>452</v>
      </c>
      <c r="H4" s="6"/>
      <c r="AE4" s="1"/>
    </row>
    <row r="5" spans="1:31" ht="95.25" customHeight="1" x14ac:dyDescent="0.25">
      <c r="A5" s="514" t="s">
        <v>169</v>
      </c>
      <c r="B5" s="514">
        <v>0.09</v>
      </c>
      <c r="C5" s="514"/>
      <c r="D5" s="514"/>
      <c r="E5" s="514"/>
      <c r="F5" s="514"/>
      <c r="G5" s="506" t="s">
        <v>656</v>
      </c>
      <c r="H5" s="68" t="s">
        <v>453</v>
      </c>
      <c r="I5" s="375"/>
      <c r="K5" s="485"/>
      <c r="N5"/>
    </row>
    <row r="6" spans="1:31" ht="85.5" customHeight="1" x14ac:dyDescent="0.25">
      <c r="A6" s="514" t="s">
        <v>169</v>
      </c>
      <c r="B6" s="514">
        <f>10*5*0.7*1000/50000</f>
        <v>0.7</v>
      </c>
      <c r="C6" s="514"/>
      <c r="D6" s="514"/>
      <c r="E6" s="514"/>
      <c r="F6" s="514"/>
      <c r="G6" s="506" t="s">
        <v>655</v>
      </c>
      <c r="H6" s="177" t="s">
        <v>454</v>
      </c>
      <c r="I6" s="177" t="s">
        <v>455</v>
      </c>
      <c r="J6" s="432"/>
      <c r="K6" s="6"/>
      <c r="L6" s="485"/>
      <c r="N6"/>
      <c r="S6"/>
    </row>
    <row r="8" spans="1:31" x14ac:dyDescent="0.2">
      <c r="A8" s="5"/>
    </row>
    <row r="9" spans="1:31" ht="15" customHeight="1" x14ac:dyDescent="0.2"/>
    <row r="10" spans="1:31" ht="12.6" customHeight="1" x14ac:dyDescent="0.25">
      <c r="A10" s="223"/>
    </row>
    <row r="11" spans="1:31" ht="13.9" customHeight="1" x14ac:dyDescent="0.2"/>
    <row r="12" spans="1:31" ht="13.9" customHeight="1" x14ac:dyDescent="0.2"/>
    <row r="13" spans="1:31" ht="13.9" customHeight="1" x14ac:dyDescent="0.2"/>
    <row r="14" spans="1:31" ht="13.9" customHeight="1" x14ac:dyDescent="0.2"/>
    <row r="15" spans="1:31" ht="13.9" customHeight="1" x14ac:dyDescent="0.2"/>
    <row r="16" spans="1:31" ht="13.9" customHeight="1" x14ac:dyDescent="0.2"/>
    <row r="17" spans="1:10" ht="13.9" customHeight="1" x14ac:dyDescent="0.2"/>
    <row r="18" spans="1:10" ht="13.9" customHeight="1" x14ac:dyDescent="0.2"/>
    <row r="19" spans="1:10" ht="13.9" customHeight="1" x14ac:dyDescent="0.2"/>
    <row r="20" spans="1:10" s="28" customFormat="1" hidden="1" x14ac:dyDescent="0.2">
      <c r="A20" s="28" t="s">
        <v>75</v>
      </c>
      <c r="H20" s="29"/>
      <c r="I20" s="30"/>
      <c r="J20" s="31"/>
    </row>
    <row r="23" spans="1:10" s="78" customFormat="1" ht="15" x14ac:dyDescent="0.2"/>
  </sheetData>
  <mergeCells count="1">
    <mergeCell ref="A1:G1"/>
  </mergeCells>
  <phoneticPr fontId="7" type="noConversion"/>
  <hyperlinks>
    <hyperlink ref="H5" r:id="rId1" xr:uid="{5F362FDD-9E28-46A8-AB20-2685E443C0CC}"/>
  </hyperlink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03CFD1B72A5F084B90FB7B73F4613BEC" ma:contentTypeVersion="6" ma:contentTypeDescription="Create a new document." ma:contentTypeScope="" ma:versionID="2558ad62346f4e4f9cd41e24fac43610">
  <xsd:schema xmlns:xsd="http://www.w3.org/2001/XMLSchema" xmlns:xs="http://www.w3.org/2001/XMLSchema" xmlns:p="http://schemas.microsoft.com/office/2006/metadata/properties" xmlns:ns2="f3a47e91-274c-46a0-ba98-7b939b571e5b" xmlns:ns3="ea1b199f-450f-4d51-8ad4-88f218385cd9" targetNamespace="http://schemas.microsoft.com/office/2006/metadata/properties" ma:root="true" ma:fieldsID="7070cde7c6343b0e2bf1de7a4c91f34e" ns2:_="" ns3:_="">
    <xsd:import namespace="f3a47e91-274c-46a0-ba98-7b939b571e5b"/>
    <xsd:import namespace="ea1b199f-450f-4d51-8ad4-88f218385cd9"/>
    <xsd:element name="properties">
      <xsd:complexType>
        <xsd:sequence>
          <xsd:element name="documentManagement">
            <xsd:complexType>
              <xsd:all>
                <xsd:element ref="ns2:MediaServiceSearchProperties" minOccurs="0"/>
                <xsd:element ref="ns2:MediaServiceObjectDetectorVersions" minOccurs="0"/>
                <xsd:element ref="ns3:SharedWithUsers" minOccurs="0"/>
                <xsd:element ref="ns3:SharedWithDetails" minOccurs="0"/>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3a47e91-274c-46a0-ba98-7b939b571e5b" elementFormDefault="qualified">
    <xsd:import namespace="http://schemas.microsoft.com/office/2006/documentManagement/types"/>
    <xsd:import namespace="http://schemas.microsoft.com/office/infopath/2007/PartnerControls"/>
    <xsd:element name="MediaServiceSearchProperties" ma:index="8" nillable="true" ma:displayName="MediaServiceSearchProperties" ma:hidden="true" ma:internalName="MediaServiceSearchProperties" ma:readOnly="true">
      <xsd:simpleType>
        <xsd:restriction base="dms:Note"/>
      </xsd:simpleType>
    </xsd:element>
    <xsd:element name="MediaServiceObjectDetectorVersions" ma:index="9" nillable="true" ma:displayName="MediaServiceObjectDetectorVersions" ma:hidden="true" ma:indexed="true" ma:internalName="MediaServiceObjectDetectorVersions" ma:readOnly="true">
      <xsd:simpleType>
        <xsd:restriction base="dms:Text"/>
      </xsd:simpleType>
    </xsd:element>
    <xsd:element name="MediaServiceMetadata" ma:index="12" nillable="true" ma:displayName="MediaServiceMetadata" ma:hidden="true" ma:internalName="MediaServiceMetadata" ma:readOnly="true">
      <xsd:simpleType>
        <xsd:restriction base="dms:Note"/>
      </xsd:simpleType>
    </xsd:element>
    <xsd:element name="MediaServiceFastMetadata" ma:index="13" nillable="true" ma:displayName="MediaServiceFastMetadata" ma:hidden="true" ma:internalName="MediaServiceFast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ea1b199f-450f-4d51-8ad4-88f218385cd9"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C385FB9D-5097-4461-A3FD-234D1073B433}">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f3a47e91-274c-46a0-ba98-7b939b571e5b"/>
    <ds:schemaRef ds:uri="ea1b199f-450f-4d51-8ad4-88f218385cd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20816333-575B-4274-8A3E-18699B071E90}">
  <ds:schemaRefs>
    <ds:schemaRef ds:uri="http://purl.org/dc/terms/"/>
    <ds:schemaRef ds:uri="http://purl.org/dc/elements/1.1/"/>
    <ds:schemaRef ds:uri="http://www.w3.org/XML/1998/namespace"/>
    <ds:schemaRef ds:uri="http://purl.org/dc/dcmitype/"/>
    <ds:schemaRef ds:uri="http://schemas.openxmlformats.org/package/2006/metadata/core-properties"/>
    <ds:schemaRef ds:uri="http://schemas.microsoft.com/office/2006/documentManagement/types"/>
    <ds:schemaRef ds:uri="http://schemas.microsoft.com/office/infopath/2007/PartnerControls"/>
    <ds:schemaRef ds:uri="http://schemas.microsoft.com/office/2006/metadata/properties"/>
    <ds:schemaRef ds:uri="ea1b199f-450f-4d51-8ad4-88f218385cd9"/>
    <ds:schemaRef ds:uri="f3a47e91-274c-46a0-ba98-7b939b571e5b"/>
  </ds:schemaRefs>
</ds:datastoreItem>
</file>

<file path=customXml/itemProps3.xml><?xml version="1.0" encoding="utf-8"?>
<ds:datastoreItem xmlns:ds="http://schemas.openxmlformats.org/officeDocument/2006/customXml" ds:itemID="{7921AF10-0BF8-441A-BDBA-64AF3E09D45F}">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1</vt:i4>
      </vt:variant>
    </vt:vector>
  </HeadingPairs>
  <TitlesOfParts>
    <vt:vector size="18" baseType="lpstr">
      <vt:lpstr>Notes</vt:lpstr>
      <vt:lpstr>Prototype</vt:lpstr>
      <vt:lpstr>Zones</vt:lpstr>
      <vt:lpstr>Envelope</vt:lpstr>
      <vt:lpstr>HVAC System</vt:lpstr>
      <vt:lpstr>Thermostat</vt:lpstr>
      <vt:lpstr>Ventilation</vt:lpstr>
      <vt:lpstr>Water Heater</vt:lpstr>
      <vt:lpstr>Equipment</vt:lpstr>
      <vt:lpstr>Interior Lights</vt:lpstr>
      <vt:lpstr>Ext Lighting</vt:lpstr>
      <vt:lpstr>Schedules</vt:lpstr>
      <vt:lpstr>Energy Usage</vt:lpstr>
      <vt:lpstr>Weights</vt:lpstr>
      <vt:lpstr>PV</vt:lpstr>
      <vt:lpstr>EV Charger</vt:lpstr>
      <vt:lpstr>Data</vt:lpstr>
      <vt:lpstr>Space_Function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Yousefi, Fatemeh</dc:creator>
  <cp:keywords/>
  <dc:description/>
  <cp:lastModifiedBy>Dabbagh, Mohammad</cp:lastModifiedBy>
  <cp:revision/>
  <dcterms:created xsi:type="dcterms:W3CDTF">2024-06-21T17:19:36Z</dcterms:created>
  <dcterms:modified xsi:type="dcterms:W3CDTF">2025-12-24T09:24:31Z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b7864bb8-b671-4bed-ba85-9478127ab5e9_Enabled">
    <vt:lpwstr>true</vt:lpwstr>
  </property>
  <property fmtid="{D5CDD505-2E9C-101B-9397-08002B2CF9AE}" pid="3" name="MSIP_Label_b7864bb8-b671-4bed-ba85-9478127ab5e9_SetDate">
    <vt:lpwstr>2024-06-21T17:19:48Z</vt:lpwstr>
  </property>
  <property fmtid="{D5CDD505-2E9C-101B-9397-08002B2CF9AE}" pid="4" name="MSIP_Label_b7864bb8-b671-4bed-ba85-9478127ab5e9_Method">
    <vt:lpwstr>Standard</vt:lpwstr>
  </property>
  <property fmtid="{D5CDD505-2E9C-101B-9397-08002B2CF9AE}" pid="5" name="MSIP_Label_b7864bb8-b671-4bed-ba85-9478127ab5e9_Name">
    <vt:lpwstr>Confidential – 2023</vt:lpwstr>
  </property>
  <property fmtid="{D5CDD505-2E9C-101B-9397-08002B2CF9AE}" pid="6" name="MSIP_Label_b7864bb8-b671-4bed-ba85-9478127ab5e9_SiteId">
    <vt:lpwstr>36839a65-7f3f-4bac-9ea4-f571f10a9a03</vt:lpwstr>
  </property>
  <property fmtid="{D5CDD505-2E9C-101B-9397-08002B2CF9AE}" pid="7" name="MSIP_Label_b7864bb8-b671-4bed-ba85-9478127ab5e9_ActionId">
    <vt:lpwstr>0e6e9a60-d2ab-4ce7-9a0a-ef72169e4f66</vt:lpwstr>
  </property>
  <property fmtid="{D5CDD505-2E9C-101B-9397-08002B2CF9AE}" pid="8" name="MSIP_Label_b7864bb8-b671-4bed-ba85-9478127ab5e9_ContentBits">
    <vt:lpwstr>0</vt:lpwstr>
  </property>
  <property fmtid="{D5CDD505-2E9C-101B-9397-08002B2CF9AE}" pid="9" name="MSIP_Label_aa7be39c-9e9f-446a-a199-286f73f56a3f_Enabled">
    <vt:lpwstr>true</vt:lpwstr>
  </property>
  <property fmtid="{D5CDD505-2E9C-101B-9397-08002B2CF9AE}" pid="10" name="MSIP_Label_aa7be39c-9e9f-446a-a199-286f73f56a3f_SetDate">
    <vt:lpwstr>2024-11-12T07:01:00Z</vt:lpwstr>
  </property>
  <property fmtid="{D5CDD505-2E9C-101B-9397-08002B2CF9AE}" pid="11" name="MSIP_Label_aa7be39c-9e9f-446a-a199-286f73f56a3f_Method">
    <vt:lpwstr>Standard</vt:lpwstr>
  </property>
  <property fmtid="{D5CDD505-2E9C-101B-9397-08002B2CF9AE}" pid="12" name="MSIP_Label_aa7be39c-9e9f-446a-a199-286f73f56a3f_Name">
    <vt:lpwstr>Confidential</vt:lpwstr>
  </property>
  <property fmtid="{D5CDD505-2E9C-101B-9397-08002B2CF9AE}" pid="13" name="MSIP_Label_aa7be39c-9e9f-446a-a199-286f73f56a3f_SiteId">
    <vt:lpwstr>85ad2a97-6942-4d5d-bc9c-35cd3905d69a</vt:lpwstr>
  </property>
  <property fmtid="{D5CDD505-2E9C-101B-9397-08002B2CF9AE}" pid="14" name="MSIP_Label_aa7be39c-9e9f-446a-a199-286f73f56a3f_ActionId">
    <vt:lpwstr>9aa52be7-e90f-4db3-9dfa-3134fb3d14a1</vt:lpwstr>
  </property>
  <property fmtid="{D5CDD505-2E9C-101B-9397-08002B2CF9AE}" pid="15" name="MSIP_Label_aa7be39c-9e9f-446a-a199-286f73f56a3f_ContentBits">
    <vt:lpwstr>0</vt:lpwstr>
  </property>
  <property fmtid="{D5CDD505-2E9C-101B-9397-08002B2CF9AE}" pid="16" name="ContentTypeId">
    <vt:lpwstr>0x01010003CFD1B72A5F084B90FB7B73F4613BEC</vt:lpwstr>
  </property>
  <property fmtid="{D5CDD505-2E9C-101B-9397-08002B2CF9AE}" pid="17" name="MediaServiceImageTags">
    <vt:lpwstr/>
  </property>
</Properties>
</file>